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orenzo\Desktop\demo\pdf\"/>
    </mc:Choice>
  </mc:AlternateContent>
  <xr:revisionPtr revIDLastSave="0" documentId="8_{5CF12787-4AA1-4B63-B97E-E63D89D812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" sheetId="7" r:id="rId1"/>
    <sheet name="Example" sheetId="42" r:id="rId2"/>
    <sheet name="Example Filtered" sheetId="43" r:id="rId3"/>
    <sheet name="Notes" sheetId="4" r:id="rId4"/>
    <sheet name="Tables" sheetId="3" state="hidden" r:id="rId5"/>
    <sheet name="Versions" sheetId="37" state="hidden" r:id="rId6"/>
  </sheets>
  <definedNames>
    <definedName name="_xlnm._FilterDatabase" localSheetId="1" hidden="1">Example!$T$5:$T$40</definedName>
    <definedName name="_xlnm._FilterDatabase" localSheetId="2" hidden="1">'Example Filtered'!$T$5:$T$40</definedName>
    <definedName name="_xlnm._FilterDatabase" localSheetId="0" hidden="1">List!$T$5:$T$40</definedName>
    <definedName name="Baggage">Tables!$O$16:$O$17</definedName>
    <definedName name="Card">Tables!$M$48:$M$65</definedName>
    <definedName name="CS_Name">Tables!$E$33:$E$36</definedName>
    <definedName name="Discipline">Tables!$B$3:$B$5</definedName>
    <definedName name="Explore">Tables!$S$16:$S$21</definedName>
    <definedName name="Fate">Tables!$P$38:$P$39</definedName>
    <definedName name="General_Ability">Tables!$R$33:$R$37</definedName>
    <definedName name="General_Command">Tables!$S$41:$S$45</definedName>
    <definedName name="General_Name">Tables!$L$33:$L$43</definedName>
    <definedName name="IMPETUS">Tables!$R$3:$R$9</definedName>
    <definedName name="LargeUnit">Tables!$H$33:$H$36</definedName>
    <definedName name="MOVE">Tables!$B$12:$B$16</definedName>
    <definedName name="Special">Tables!$B$33:$B$41</definedName>
    <definedName name="Type">Tables!$E$3:$E$18</definedName>
    <definedName name="VBU">Tables!$O$3:$O$10</definedName>
    <definedName name="VOLUME">Tables!$U$11:$U$45</definedName>
    <definedName name="Weapon">Tables!$L$3:$L$29</definedName>
  </definedNames>
  <calcPr calcId="191029"/>
</workbook>
</file>

<file path=xl/calcChain.xml><?xml version="1.0" encoding="utf-8"?>
<calcChain xmlns="http://schemas.openxmlformats.org/spreadsheetml/2006/main">
  <c r="S40" i="7" l="1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F57" i="43" l="1"/>
  <c r="P52" i="43"/>
  <c r="K52" i="43"/>
  <c r="L52" i="43" s="1"/>
  <c r="P47" i="43"/>
  <c r="Q47" i="43" s="1"/>
  <c r="K47" i="43"/>
  <c r="L47" i="43" s="1"/>
  <c r="T40" i="43"/>
  <c r="S40" i="43"/>
  <c r="T39" i="43"/>
  <c r="S39" i="43"/>
  <c r="T38" i="43"/>
  <c r="S38" i="43"/>
  <c r="T37" i="43"/>
  <c r="S37" i="43"/>
  <c r="T36" i="43"/>
  <c r="S36" i="43"/>
  <c r="T35" i="43"/>
  <c r="S35" i="43"/>
  <c r="T34" i="43"/>
  <c r="S34" i="43"/>
  <c r="T33" i="43"/>
  <c r="S33" i="43"/>
  <c r="T32" i="43"/>
  <c r="S32" i="43"/>
  <c r="T31" i="43"/>
  <c r="S31" i="43"/>
  <c r="T30" i="43"/>
  <c r="S30" i="43"/>
  <c r="T29" i="43"/>
  <c r="S29" i="43"/>
  <c r="T28" i="43"/>
  <c r="S28" i="43"/>
  <c r="T27" i="43"/>
  <c r="S27" i="43"/>
  <c r="T26" i="43"/>
  <c r="S26" i="43"/>
  <c r="T25" i="43"/>
  <c r="S25" i="43"/>
  <c r="T24" i="43"/>
  <c r="S24" i="43"/>
  <c r="T23" i="43"/>
  <c r="S23" i="43"/>
  <c r="T22" i="43"/>
  <c r="S22" i="43"/>
  <c r="T21" i="43"/>
  <c r="S21" i="43"/>
  <c r="T20" i="43"/>
  <c r="S20" i="43"/>
  <c r="T19" i="43"/>
  <c r="S19" i="43"/>
  <c r="T18" i="43"/>
  <c r="S18" i="43"/>
  <c r="T17" i="43"/>
  <c r="S17" i="43"/>
  <c r="T16" i="43"/>
  <c r="S16" i="43"/>
  <c r="T15" i="43"/>
  <c r="S15" i="43"/>
  <c r="T14" i="43"/>
  <c r="S14" i="43"/>
  <c r="T13" i="43"/>
  <c r="S13" i="43"/>
  <c r="T12" i="43"/>
  <c r="S12" i="43"/>
  <c r="T11" i="43"/>
  <c r="S11" i="43"/>
  <c r="T10" i="43"/>
  <c r="S10" i="43"/>
  <c r="T9" i="43"/>
  <c r="S9" i="43"/>
  <c r="T8" i="43"/>
  <c r="S8" i="43"/>
  <c r="T7" i="43"/>
  <c r="S7" i="43"/>
  <c r="T6" i="43"/>
  <c r="S6" i="43"/>
  <c r="F57" i="42"/>
  <c r="P52" i="42"/>
  <c r="K52" i="42"/>
  <c r="L52" i="42" s="1"/>
  <c r="P47" i="42"/>
  <c r="Q47" i="42" s="1"/>
  <c r="K47" i="42"/>
  <c r="L47" i="42" s="1"/>
  <c r="T40" i="42"/>
  <c r="S40" i="42"/>
  <c r="T39" i="42"/>
  <c r="S39" i="42"/>
  <c r="T38" i="42"/>
  <c r="S38" i="42"/>
  <c r="T37" i="42"/>
  <c r="S37" i="42"/>
  <c r="T36" i="42"/>
  <c r="S36" i="42"/>
  <c r="T35" i="42"/>
  <c r="S35" i="42"/>
  <c r="T34" i="42"/>
  <c r="S34" i="42"/>
  <c r="T33" i="42"/>
  <c r="S33" i="42"/>
  <c r="T32" i="42"/>
  <c r="S32" i="42"/>
  <c r="T31" i="42"/>
  <c r="S31" i="42"/>
  <c r="T30" i="42"/>
  <c r="S30" i="42"/>
  <c r="T29" i="42"/>
  <c r="S29" i="42"/>
  <c r="T28" i="42"/>
  <c r="S28" i="42"/>
  <c r="T27" i="42"/>
  <c r="S27" i="42"/>
  <c r="T26" i="42"/>
  <c r="S26" i="42"/>
  <c r="T25" i="42"/>
  <c r="S25" i="42"/>
  <c r="T24" i="42"/>
  <c r="S24" i="42"/>
  <c r="T23" i="42"/>
  <c r="S23" i="42"/>
  <c r="T22" i="42"/>
  <c r="S22" i="42"/>
  <c r="T21" i="42"/>
  <c r="S21" i="42"/>
  <c r="T20" i="42"/>
  <c r="S20" i="42"/>
  <c r="T19" i="42"/>
  <c r="S19" i="42"/>
  <c r="T18" i="42"/>
  <c r="S18" i="42"/>
  <c r="T17" i="42"/>
  <c r="S17" i="42"/>
  <c r="T16" i="42"/>
  <c r="S16" i="42"/>
  <c r="T15" i="42"/>
  <c r="S15" i="42"/>
  <c r="T14" i="42"/>
  <c r="S14" i="42"/>
  <c r="T13" i="42"/>
  <c r="S13" i="42"/>
  <c r="T12" i="42"/>
  <c r="S12" i="42"/>
  <c r="T11" i="42"/>
  <c r="S11" i="42"/>
  <c r="T10" i="42"/>
  <c r="S10" i="42"/>
  <c r="T9" i="42"/>
  <c r="S9" i="42"/>
  <c r="T8" i="42"/>
  <c r="S8" i="42"/>
  <c r="T7" i="42"/>
  <c r="S7" i="42"/>
  <c r="T6" i="42"/>
  <c r="S6" i="42"/>
  <c r="J47" i="43" l="1"/>
  <c r="M47" i="43"/>
  <c r="O47" i="43"/>
  <c r="P53" i="43"/>
  <c r="O52" i="43"/>
  <c r="R47" i="43"/>
  <c r="Q52" i="43"/>
  <c r="J52" i="43"/>
  <c r="K48" i="43"/>
  <c r="P48" i="43"/>
  <c r="M52" i="43"/>
  <c r="R52" i="43"/>
  <c r="P57" i="43"/>
  <c r="Q57" i="43" s="1"/>
  <c r="K53" i="43"/>
  <c r="P53" i="42"/>
  <c r="M47" i="42"/>
  <c r="O47" i="42"/>
  <c r="J47" i="42"/>
  <c r="O52" i="42"/>
  <c r="R47" i="42"/>
  <c r="Q52" i="42"/>
  <c r="J52" i="42"/>
  <c r="K48" i="42"/>
  <c r="P48" i="42"/>
  <c r="M52" i="42"/>
  <c r="R52" i="42"/>
  <c r="P57" i="42"/>
  <c r="Q57" i="42" s="1"/>
  <c r="K53" i="42"/>
  <c r="P58" i="43" l="1"/>
  <c r="P58" i="42"/>
  <c r="G23" i="37" l="1"/>
  <c r="G22" i="37"/>
  <c r="P52" i="7" l="1"/>
  <c r="O52" i="7" s="1"/>
  <c r="K52" i="7"/>
  <c r="J52" i="7" s="1"/>
  <c r="P47" i="7"/>
  <c r="O47" i="7" s="1"/>
  <c r="K47" i="7"/>
  <c r="J47" i="7" s="1"/>
  <c r="F57" i="7" l="1"/>
  <c r="P48" i="7" l="1"/>
  <c r="K48" i="7"/>
  <c r="P53" i="7"/>
  <c r="K53" i="7"/>
  <c r="AC24" i="3" l="1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P58" i="7" l="1"/>
  <c r="Q47" i="7" l="1"/>
  <c r="P57" i="7" l="1"/>
  <c r="R47" i="7"/>
  <c r="M47" i="7"/>
  <c r="L52" i="7"/>
  <c r="L47" i="7"/>
  <c r="Q52" i="7"/>
  <c r="R52" i="7"/>
  <c r="M52" i="7"/>
  <c r="T38" i="7" l="1"/>
  <c r="T37" i="7"/>
  <c r="T36" i="7"/>
  <c r="T35" i="7"/>
  <c r="T34" i="7"/>
  <c r="T40" i="7" l="1"/>
  <c r="T39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Q57" i="7" l="1"/>
</calcChain>
</file>

<file path=xl/sharedStrings.xml><?xml version="1.0" encoding="utf-8"?>
<sst xmlns="http://schemas.openxmlformats.org/spreadsheetml/2006/main" count="786" uniqueCount="323">
  <si>
    <t>COMMANDS</t>
  </si>
  <si>
    <t>#1</t>
  </si>
  <si>
    <t>#2</t>
  </si>
  <si>
    <t>#3</t>
  </si>
  <si>
    <t>#4</t>
  </si>
  <si>
    <t>Type</t>
  </si>
  <si>
    <t>M</t>
  </si>
  <si>
    <t>VBU</t>
  </si>
  <si>
    <t>I</t>
  </si>
  <si>
    <t>D</t>
  </si>
  <si>
    <t>VD</t>
  </si>
  <si>
    <t>Pts</t>
  </si>
  <si>
    <t>B</t>
  </si>
  <si>
    <t>Crossbow B</t>
  </si>
  <si>
    <t>C</t>
  </si>
  <si>
    <t>Various</t>
  </si>
  <si>
    <t>Crossbow A</t>
  </si>
  <si>
    <t>Long Spear</t>
  </si>
  <si>
    <t>Impetuous</t>
  </si>
  <si>
    <t>-</t>
  </si>
  <si>
    <t>Command #1</t>
  </si>
  <si>
    <t>Command #2</t>
  </si>
  <si>
    <t>Command #3</t>
  </si>
  <si>
    <t>Command #4</t>
  </si>
  <si>
    <t>Name</t>
  </si>
  <si>
    <t>Weapon</t>
  </si>
  <si>
    <t>---</t>
  </si>
  <si>
    <t>IMPETUS</t>
  </si>
  <si>
    <t>PTS</t>
  </si>
  <si>
    <t>WEAPON</t>
  </si>
  <si>
    <t>ART A</t>
  </si>
  <si>
    <t>ART B</t>
  </si>
  <si>
    <t>ART C</t>
  </si>
  <si>
    <t>TYPE</t>
  </si>
  <si>
    <t>CGP</t>
  </si>
  <si>
    <t>DISCIP.</t>
  </si>
  <si>
    <t>CGL</t>
  </si>
  <si>
    <t>A</t>
  </si>
  <si>
    <t>FP</t>
  </si>
  <si>
    <t>Handgun</t>
  </si>
  <si>
    <t>FL</t>
  </si>
  <si>
    <t>Harquebus A</t>
  </si>
  <si>
    <t>Harquebus B</t>
  </si>
  <si>
    <t>CM</t>
  </si>
  <si>
    <t>Javelin</t>
  </si>
  <si>
    <t>CL</t>
  </si>
  <si>
    <t>T</t>
  </si>
  <si>
    <t>Longbow A</t>
  </si>
  <si>
    <t>S</t>
  </si>
  <si>
    <t>Longbow B</t>
  </si>
  <si>
    <t>Musket</t>
  </si>
  <si>
    <t>Pike</t>
  </si>
  <si>
    <t>Pilum</t>
  </si>
  <si>
    <t>Sling</t>
  </si>
  <si>
    <t>SPECIAL</t>
  </si>
  <si>
    <t>Camels</t>
  </si>
  <si>
    <t>Schiltron</t>
  </si>
  <si>
    <t>Command</t>
  </si>
  <si>
    <t>Good</t>
  </si>
  <si>
    <t>Average</t>
  </si>
  <si>
    <t>Poor</t>
  </si>
  <si>
    <t>min</t>
  </si>
  <si>
    <t>max</t>
  </si>
  <si>
    <t>General</t>
  </si>
  <si>
    <t>Special</t>
  </si>
  <si>
    <t>Cart</t>
  </si>
  <si>
    <t>Command Structure</t>
  </si>
  <si>
    <t>Pts:</t>
  </si>
  <si>
    <t>FOR</t>
  </si>
  <si>
    <t>Mount</t>
  </si>
  <si>
    <t>ARMY TOTAL</t>
  </si>
  <si>
    <t>List:</t>
  </si>
  <si>
    <t>VDT</t>
  </si>
  <si>
    <t>ART</t>
  </si>
  <si>
    <t>7. Rome and the Empire</t>
  </si>
  <si>
    <t>9. Britannia</t>
  </si>
  <si>
    <t>11. Steppe Peoples</t>
  </si>
  <si>
    <t>12. Armies of Islam</t>
  </si>
  <si>
    <t>13. Justinian Age</t>
  </si>
  <si>
    <t>14. Age of Charlemagne</t>
  </si>
  <si>
    <t>16. The Crusades in the Holy land</t>
  </si>
  <si>
    <t>19. Feudal Europe</t>
  </si>
  <si>
    <t>22. Medieval far East</t>
  </si>
  <si>
    <t>VOLUME</t>
  </si>
  <si>
    <t>Short bow A</t>
  </si>
  <si>
    <t>Short bow B</t>
  </si>
  <si>
    <t>CF</t>
  </si>
  <si>
    <t>20. Italy and the the Empire</t>
  </si>
  <si>
    <t>Shieldwall</t>
  </si>
  <si>
    <t>W</t>
  </si>
  <si>
    <t>Pavise</t>
  </si>
  <si>
    <t>EL</t>
  </si>
  <si>
    <t>Stakes</t>
  </si>
  <si>
    <t>NOTES</t>
  </si>
  <si>
    <t>: General Type and General Command columns must have data. That's how general points are calculated and added to the army total</t>
  </si>
  <si>
    <t>or</t>
  </si>
  <si>
    <t>VD:</t>
  </si>
  <si>
    <t>17. The Birth of East Europe</t>
  </si>
  <si>
    <t>21. The Mongol Empire</t>
  </si>
  <si>
    <t>18. Feudal Spain and the Reconquista</t>
  </si>
  <si>
    <t>: Command Structure tick boxes on top are informative and only used to show available options. The chosen one should be selected at the sheet bottom.</t>
  </si>
  <si>
    <t>: Large units are marked as "1" if front unit or "2a" if rear unit with normal points or "2b" if rear unit with reduced points</t>
  </si>
  <si>
    <r>
      <rPr>
        <sz val="10"/>
        <color indexed="10"/>
        <rFont val="Arial"/>
        <family val="2"/>
      </rPr>
      <t>VD=0:</t>
    </r>
    <r>
      <rPr>
        <sz val="10"/>
        <rFont val="Arial"/>
        <family val="2"/>
      </rPr>
      <t xml:space="preserve"> CF</t>
    </r>
  </si>
  <si>
    <t>Changed "Command Structure" to "Available Choices for Command Structure"</t>
  </si>
  <si>
    <t>5 lines added to the spreadsheet</t>
  </si>
  <si>
    <t>v0.1</t>
  </si>
  <si>
    <t>v0.2</t>
  </si>
  <si>
    <t>v0.3</t>
  </si>
  <si>
    <t>Added special "negate Impact" with cost of 3pts</t>
  </si>
  <si>
    <t>replaced CP with CP1 and CP2</t>
  </si>
  <si>
    <t>CP1</t>
  </si>
  <si>
    <t>CP2</t>
  </si>
  <si>
    <t>replaced Dart and Heavy Javelin with PBW</t>
  </si>
  <si>
    <t>PBW</t>
  </si>
  <si>
    <t>added Polearm</t>
  </si>
  <si>
    <t>Polearm</t>
  </si>
  <si>
    <t>removed cowardly general</t>
  </si>
  <si>
    <t>Comp. Bow A</t>
  </si>
  <si>
    <t>Comp. Bow C</t>
  </si>
  <si>
    <t>Comp. Bow B</t>
  </si>
  <si>
    <t>v0.4</t>
  </si>
  <si>
    <t>v0.5</t>
  </si>
  <si>
    <t>Layout changes</t>
  </si>
  <si>
    <t>v0.6</t>
  </si>
  <si>
    <t>pts</t>
  </si>
  <si>
    <t>TOT</t>
  </si>
  <si>
    <t>L.unit</t>
  </si>
  <si>
    <t>G.Ability</t>
  </si>
  <si>
    <t>Brave</t>
  </si>
  <si>
    <t>Severe</t>
  </si>
  <si>
    <t>Confident</t>
  </si>
  <si>
    <t>Cavalry</t>
  </si>
  <si>
    <t>Move</t>
  </si>
  <si>
    <t>Baggage</t>
  </si>
  <si>
    <t>Normal</t>
  </si>
  <si>
    <t>Fortified</t>
  </si>
  <si>
    <t>Explorat.</t>
  </si>
  <si>
    <t>VDC</t>
  </si>
  <si>
    <t>BAGGAGE</t>
  </si>
  <si>
    <t>List Choices for</t>
  </si>
  <si>
    <t>LU</t>
  </si>
  <si>
    <t>1</t>
  </si>
  <si>
    <t>2</t>
  </si>
  <si>
    <t>3</t>
  </si>
  <si>
    <t>4</t>
  </si>
  <si>
    <t>Break 50%</t>
  </si>
  <si>
    <t>Card</t>
  </si>
  <si>
    <t>SC1</t>
  </si>
  <si>
    <t>SC2</t>
  </si>
  <si>
    <t>SC3</t>
  </si>
  <si>
    <t>SC4</t>
  </si>
  <si>
    <t>SC5</t>
  </si>
  <si>
    <t>SC6</t>
  </si>
  <si>
    <t>TC1</t>
  </si>
  <si>
    <t>TC2</t>
  </si>
  <si>
    <t>TC3</t>
  </si>
  <si>
    <t>TC4</t>
  </si>
  <si>
    <t>TC5</t>
  </si>
  <si>
    <t>TC6</t>
  </si>
  <si>
    <t>TC7</t>
  </si>
  <si>
    <t>TC8</t>
  </si>
  <si>
    <t>TC9</t>
  </si>
  <si>
    <t>TC10</t>
  </si>
  <si>
    <t>TC11</t>
  </si>
  <si>
    <t>TC12</t>
  </si>
  <si>
    <t>Total:</t>
  </si>
  <si>
    <t>type</t>
  </si>
  <si>
    <t>Remove "General Type" column</t>
  </si>
  <si>
    <t>Remove "General Command" column</t>
  </si>
  <si>
    <t>Add generals abilities</t>
  </si>
  <si>
    <t>Add generals VD</t>
  </si>
  <si>
    <t>Add general's VD to command VD</t>
  </si>
  <si>
    <t>Add normal and fortified Baggage</t>
  </si>
  <si>
    <t>Add baggage VD to army VD</t>
  </si>
  <si>
    <t>Show 33% and 50% command breakpoints</t>
  </si>
  <si>
    <t>Highlight warning if command VD over 70%</t>
  </si>
  <si>
    <t>Add cards cost</t>
  </si>
  <si>
    <t>Highlight warning if cards over 6pts for every 100pts of army</t>
  </si>
  <si>
    <t>Vol.:</t>
  </si>
  <si>
    <t>Command Struct.</t>
  </si>
  <si>
    <t>Genius CiC</t>
  </si>
  <si>
    <t>Charismatic CiC</t>
  </si>
  <si>
    <t>Expert CiC</t>
  </si>
  <si>
    <t>Reliable CiC</t>
  </si>
  <si>
    <t>Poor CiC</t>
  </si>
  <si>
    <t>Incomp. CiC</t>
  </si>
  <si>
    <t>Expert SG</t>
  </si>
  <si>
    <t>Reliable SG</t>
  </si>
  <si>
    <t>Poor SG</t>
  </si>
  <si>
    <t>Incomp. SG</t>
  </si>
  <si>
    <t>Exploration Pts.</t>
  </si>
  <si>
    <t>------&gt;</t>
  </si>
  <si>
    <t>Remove "*" from types</t>
  </si>
  <si>
    <t>Remove "M" column add old movement cost to type cost</t>
  </si>
  <si>
    <t>v0.61</t>
  </si>
  <si>
    <t>Add points for fortified camp</t>
  </si>
  <si>
    <t>TC1 - Furious Melee</t>
  </si>
  <si>
    <t>TC2 - Faith</t>
  </si>
  <si>
    <t>TC3 - Betrayal</t>
  </si>
  <si>
    <t>TC4 - Storm of Arrows</t>
  </si>
  <si>
    <t>TC5 - Iron discipline</t>
  </si>
  <si>
    <t>TC6 - Die Hard</t>
  </si>
  <si>
    <t>TC7 - Motivated Troops</t>
  </si>
  <si>
    <t>TC8 - Charge by Opportunity</t>
  </si>
  <si>
    <t>TC9 - Last Man</t>
  </si>
  <si>
    <t>TC10 - Bloodthirsty</t>
  </si>
  <si>
    <t>TC11 - Retreat in Good Order</t>
  </si>
  <si>
    <t>TC12 - Decisive Initiative</t>
  </si>
  <si>
    <t>SC1 - Flank March</t>
  </si>
  <si>
    <t>SC2 - Reserve</t>
  </si>
  <si>
    <t>SC3 - Ambush</t>
  </si>
  <si>
    <t>SC4 - Forward Deployment</t>
  </si>
  <si>
    <t>SC5 - Delayed Deployment</t>
  </si>
  <si>
    <t>SC6 - Scouting</t>
  </si>
  <si>
    <t>Card - Name</t>
  </si>
  <si>
    <t>v0.62</t>
  </si>
  <si>
    <t>Points adjusted for impetuous FL, CP1, CM and CP2</t>
  </si>
  <si>
    <t>Cards table redesigned</t>
  </si>
  <si>
    <t>v0.70</t>
  </si>
  <si>
    <t>Removed Min and Max for armies below 350pts</t>
  </si>
  <si>
    <t>v0.80</t>
  </si>
  <si>
    <t>VD formula revised to ignore weapons, excepting Long Bow A</t>
  </si>
  <si>
    <t>2-</t>
  </si>
  <si>
    <t>Large Units codes 1, 2a and 2b replaced by 1, 2 and 2-</t>
  </si>
  <si>
    <t>Mov</t>
  </si>
  <si>
    <r>
      <rPr>
        <sz val="10"/>
        <color indexed="10"/>
        <rFont val="Arial"/>
        <family val="2"/>
      </rPr>
      <t>VD=1:</t>
    </r>
    <r>
      <rPr>
        <sz val="10"/>
        <rFont val="Arial"/>
        <family val="2"/>
      </rPr>
      <t xml:space="preserve"> VBU4; VBU3; VBU2; VBU1</t>
    </r>
  </si>
  <si>
    <t>NOTE 2:</t>
  </si>
  <si>
    <t>NOTE 2</t>
  </si>
  <si>
    <t>see NOTE 2</t>
  </si>
  <si>
    <t>v0.81</t>
  </si>
  <si>
    <t>New Point values for V2</t>
  </si>
  <si>
    <t>: Roughly on top of the 'T' column of the spreadsheet there's a filter button that allows the hiding of non used lines</t>
  </si>
  <si>
    <t>: Roughly on top of the 'T' column of the spreadsheet there's a filter button that allows to hide non used lines</t>
  </si>
  <si>
    <t>Replace "SUMPRODUCT" function to allow compatibilty with older excel versions</t>
  </si>
  <si>
    <t>TOTAL</t>
  </si>
  <si>
    <t>(type+mov)</t>
  </si>
  <si>
    <t>Note 1:</t>
  </si>
  <si>
    <t>Reduced cost for second rank units is 3/4 normal rounded up</t>
  </si>
  <si>
    <t>Rear Rank units points calculation, assumes a VBU 4 as maximum for those units</t>
  </si>
  <si>
    <t>1. Age of Bronze</t>
  </si>
  <si>
    <t>2. Age of Chariots</t>
  </si>
  <si>
    <t>3. Age of hoplites</t>
  </si>
  <si>
    <t>4. Alexander the Great and Successors</t>
  </si>
  <si>
    <t>5. Rome and Italy</t>
  </si>
  <si>
    <t>8. Rome Crisis and Fall</t>
  </si>
  <si>
    <t>15. The Year 1000</t>
  </si>
  <si>
    <t>VD formula removed</t>
  </si>
  <si>
    <t>6. Roman Expansion</t>
  </si>
  <si>
    <t>: Large units are marked in column "LU" as:</t>
  </si>
  <si>
    <t>Hoplon</t>
  </si>
  <si>
    <r>
      <t xml:space="preserve">: "Command Structure" tick boxes are informative and only used to show </t>
    </r>
    <r>
      <rPr>
        <b/>
        <sz val="10"/>
        <rFont val="Arial"/>
        <family val="2"/>
      </rPr>
      <t>available options</t>
    </r>
    <r>
      <rPr>
        <sz val="10"/>
        <rFont val="Arial"/>
        <family val="2"/>
      </rPr>
      <t xml:space="preserve"> in the list. The chosen one should be selected under the heading "Command Structure".</t>
    </r>
  </si>
  <si>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: Full cost 1st Rank</t>
    </r>
  </si>
  <si>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 : Full cost 2nd Rank</t>
    </r>
  </si>
  <si>
    <r>
      <rPr>
        <b/>
        <sz val="10"/>
        <rFont val="Arial"/>
        <family val="2"/>
      </rPr>
      <t>2-</t>
    </r>
    <r>
      <rPr>
        <sz val="10"/>
        <rFont val="Arial"/>
        <family val="2"/>
      </rPr>
      <t xml:space="preserve"> : Reduced cost 2nd Rank</t>
    </r>
  </si>
  <si>
    <r>
      <rPr>
        <sz val="10"/>
        <color indexed="10"/>
        <rFont val="Arial"/>
        <family val="2"/>
      </rPr>
      <t>VD=2:</t>
    </r>
    <r>
      <rPr>
        <sz val="10"/>
        <rFont val="Arial"/>
        <family val="2"/>
      </rPr>
      <t xml:space="preserve"> VBU6; VBU5; CL with VBU 4</t>
    </r>
  </si>
  <si>
    <r>
      <rPr>
        <sz val="10"/>
        <color indexed="10"/>
        <rFont val="Arial"/>
        <family val="2"/>
      </rPr>
      <t>VD=3</t>
    </r>
    <r>
      <rPr>
        <sz val="10"/>
        <rFont val="Arial"/>
        <family val="2"/>
      </rPr>
      <t>: VBU7 or higher; Higher VBU in the list</t>
    </r>
  </si>
  <si>
    <t>Jorge Neto/2020</t>
  </si>
  <si>
    <t>IMPETVS 2</t>
  </si>
  <si>
    <t>V.1.0</t>
  </si>
  <si>
    <t>6.9 Later Carthaginians 221-146 BC</t>
  </si>
  <si>
    <t>Carthaginian veteran cav.</t>
  </si>
  <si>
    <t>Gallic, Spanish or Campanian cav.</t>
  </si>
  <si>
    <t>Gallic or Spanish cav</t>
  </si>
  <si>
    <t>Numidian cavalry</t>
  </si>
  <si>
    <t>Iberian or Tarentine light cavalry</t>
  </si>
  <si>
    <t>Libyan veterans</t>
  </si>
  <si>
    <t>Libyan vet. legionary style</t>
  </si>
  <si>
    <t>Libyan spearmen</t>
  </si>
  <si>
    <t>Spanish Scutarii</t>
  </si>
  <si>
    <t>Spanish Scutarii legionary style</t>
  </si>
  <si>
    <t>Gallic warriors</t>
  </si>
  <si>
    <t>Celtiberians or veteran Gauls</t>
  </si>
  <si>
    <t>Mago mercenaries</t>
  </si>
  <si>
    <t>Samnites or Brutians</t>
  </si>
  <si>
    <t>Oscans or Lucans</t>
  </si>
  <si>
    <t>Ligurians</t>
  </si>
  <si>
    <t>Punic Citizens</t>
  </si>
  <si>
    <t>Campanian hoplites</t>
  </si>
  <si>
    <t>Campanians legionary style</t>
  </si>
  <si>
    <t>Elephants</t>
  </si>
  <si>
    <t>Spanish Caetrati</t>
  </si>
  <si>
    <t>Libians or Numidians</t>
  </si>
  <si>
    <t>Moorish archers</t>
  </si>
  <si>
    <t>Balearic slingers</t>
  </si>
  <si>
    <t>up</t>
  </si>
  <si>
    <t>1/C</t>
  </si>
  <si>
    <t>1/3D</t>
  </si>
  <si>
    <t>1/2D</t>
  </si>
  <si>
    <t>v1.0</t>
  </si>
  <si>
    <t>Version number set to 1.0 to signal first version to be used with the warbooks designed for Impetus 2</t>
  </si>
  <si>
    <t>Max.70%</t>
  </si>
  <si>
    <t>Example</t>
  </si>
  <si>
    <t>Type value is obtained by adding the type base cost to its movement points cost</t>
  </si>
  <si>
    <t>Highlight warning if VBU 5+ for a rear rank unit</t>
  </si>
  <si>
    <t>Warnings: cells highlighted in red:</t>
  </si>
  <si>
    <r>
      <rPr>
        <b/>
        <sz val="10"/>
        <color rgb="FFFF0000"/>
        <rFont val="Arial"/>
        <family val="2"/>
      </rPr>
      <t>VBU</t>
    </r>
    <r>
      <rPr>
        <sz val="10"/>
        <rFont val="Arial"/>
        <family val="2"/>
      </rPr>
      <t>: if VBU is 5 or more and it is marked as a LU rear unit ("2" or "2-")</t>
    </r>
  </si>
  <si>
    <r>
      <rPr>
        <b/>
        <sz val="10"/>
        <color rgb="FFFF0000"/>
        <rFont val="Arial"/>
        <family val="2"/>
      </rPr>
      <t>Cards</t>
    </r>
    <r>
      <rPr>
        <sz val="10"/>
        <rFont val="Arial"/>
        <family val="2"/>
      </rPr>
      <t>: if over 6pts for every 100pts of army</t>
    </r>
  </si>
  <si>
    <r>
      <rPr>
        <b/>
        <sz val="10"/>
        <color rgb="FFFF0000"/>
        <rFont val="Arial"/>
        <family val="2"/>
      </rPr>
      <t>Command VD %</t>
    </r>
    <r>
      <rPr>
        <sz val="10"/>
        <rFont val="Arial"/>
        <family val="2"/>
      </rPr>
      <t>: if command VD over 70% of army total</t>
    </r>
  </si>
  <si>
    <t>Bomb</t>
  </si>
  <si>
    <t>v1.1</t>
  </si>
  <si>
    <t>"Bomb" added</t>
  </si>
  <si>
    <t>v1.2</t>
  </si>
  <si>
    <t>Volume 23 is Japan</t>
  </si>
  <si>
    <t>10. Ancient Asia</t>
  </si>
  <si>
    <t>23. Age of the Samurai</t>
  </si>
  <si>
    <t>24. XIV Cent. Europe</t>
  </si>
  <si>
    <t>25. The Ottoman Empire</t>
  </si>
  <si>
    <t>26. The 100 Years War</t>
  </si>
  <si>
    <t>27. XV Cent. Italy</t>
  </si>
  <si>
    <t>28. XV Cent. Europe</t>
  </si>
  <si>
    <t>29. The Wars of the Roses</t>
  </si>
  <si>
    <t>V.1.3</t>
  </si>
  <si>
    <t>Jorge Neto/2023</t>
  </si>
  <si>
    <t>v1.3</t>
  </si>
  <si>
    <t>Corrects command VD percentage of total. Now includes the baggage.</t>
  </si>
  <si>
    <t>Doppelsoldner included</t>
  </si>
  <si>
    <t>Joan of Arc included</t>
  </si>
  <si>
    <t>Jean of Arc</t>
  </si>
  <si>
    <t>D.soldner</t>
  </si>
  <si>
    <t>30. Medieval and Renaissance India</t>
  </si>
  <si>
    <t>31. War in the New World</t>
  </si>
  <si>
    <t>32. The Great Italian Wars</t>
  </si>
  <si>
    <t>33. Renaissance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</si>
</sst>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  <family val="2"/>
    </font>
    <font>
      <sz val="11"/>
      <name val="Bookman Old Style"/>
      <family val="1"/>
      <charset val="1"/>
    </font>
    <font>
      <b/>
      <sz val="12"/>
      <name val="Bookman Old Style"/>
      <family val="1"/>
    </font>
    <font>
      <sz val="11"/>
      <name val="Bookman Old Style"/>
      <family val="1"/>
    </font>
    <font>
      <b/>
      <sz val="11"/>
      <color indexed="12"/>
      <name val="Bookman Old Style"/>
      <family val="1"/>
    </font>
    <font>
      <b/>
      <sz val="11"/>
      <color indexed="10"/>
      <name val="Bookman Old Style"/>
      <family val="1"/>
    </font>
    <font>
      <b/>
      <sz val="11"/>
      <name val="Bookman Old Style"/>
      <family val="1"/>
    </font>
    <font>
      <b/>
      <sz val="14"/>
      <name val="Bookman Old Style"/>
      <family val="1"/>
    </font>
    <font>
      <sz val="11"/>
      <color indexed="9"/>
      <name val="Bookman Old Style"/>
      <family val="1"/>
      <charset val="1"/>
    </font>
    <font>
      <b/>
      <sz val="10"/>
      <name val="Arial"/>
      <family val="2"/>
    </font>
    <font>
      <sz val="11"/>
      <name val="Footlight MT Light"/>
      <family val="1"/>
    </font>
    <font>
      <i/>
      <sz val="11"/>
      <name val="Footlight MT Light"/>
      <family val="1"/>
    </font>
    <font>
      <sz val="10"/>
      <color indexed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Calligraph421 BT"/>
      <family val="4"/>
    </font>
    <font>
      <i/>
      <sz val="10"/>
      <name val="Arial"/>
      <family val="2"/>
    </font>
    <font>
      <b/>
      <sz val="12"/>
      <color theme="0"/>
      <name val="Bookman Old Style"/>
      <family val="1"/>
    </font>
    <font>
      <b/>
      <sz val="11"/>
      <color theme="0"/>
      <name val="Bookman Old Style"/>
      <family val="1"/>
    </font>
    <font>
      <b/>
      <sz val="12"/>
      <color indexed="10"/>
      <name val="Bookman Old Style"/>
      <family val="1"/>
    </font>
    <font>
      <b/>
      <sz val="14"/>
      <color theme="0"/>
      <name val="Bookman Old Style"/>
      <family val="1"/>
    </font>
    <font>
      <b/>
      <sz val="12"/>
      <color indexed="60"/>
      <name val="Bookman Old Style"/>
      <family val="1"/>
    </font>
    <font>
      <b/>
      <sz val="8"/>
      <name val="Bookman Old Style"/>
      <family val="1"/>
    </font>
    <font>
      <b/>
      <sz val="10"/>
      <color rgb="FFFF0000"/>
      <name val="Bookman Old Style"/>
      <family val="1"/>
    </font>
    <font>
      <b/>
      <sz val="11"/>
      <name val="Arial"/>
      <family val="2"/>
    </font>
    <font>
      <b/>
      <sz val="14"/>
      <color theme="9" tint="-0.499984740745262"/>
      <name val="Bookman Old Style"/>
      <family val="1"/>
    </font>
    <font>
      <sz val="8"/>
      <color rgb="FF000000"/>
      <name val="Segoe UI"/>
      <family val="2"/>
    </font>
    <font>
      <sz val="10"/>
      <color theme="0"/>
      <name val="Arial"/>
      <family val="2"/>
    </font>
    <font>
      <b/>
      <sz val="20"/>
      <color theme="0"/>
      <name val="Bookman Old Style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Bookman Old Style"/>
      <family val="1"/>
    </font>
    <font>
      <b/>
      <sz val="10"/>
      <color indexed="10"/>
      <name val="Bookman Old Style"/>
      <family val="1"/>
    </font>
    <font>
      <b/>
      <sz val="10"/>
      <color theme="0"/>
      <name val="Bookman Old Style"/>
      <family val="1"/>
    </font>
    <font>
      <b/>
      <sz val="16"/>
      <color indexed="60"/>
      <name val="Bookman Old Style"/>
      <family val="1"/>
    </font>
    <font>
      <sz val="10"/>
      <color theme="4" tint="-0.249977111117893"/>
      <name val="Arial"/>
      <family val="2"/>
    </font>
    <font>
      <b/>
      <sz val="9"/>
      <color indexed="60"/>
      <name val="Bookman Old Style"/>
      <family val="1"/>
    </font>
    <font>
      <b/>
      <sz val="36"/>
      <color theme="0"/>
      <name val="Bookman Old Style"/>
      <family val="1"/>
    </font>
    <font>
      <b/>
      <sz val="18"/>
      <name val="Bookman Old Style"/>
      <family val="1"/>
    </font>
    <font>
      <sz val="8"/>
      <name val="Bookman Old Style"/>
      <family val="1"/>
      <charset val="1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CC"/>
        <bgColor indexed="41"/>
      </patternFill>
    </fill>
    <fill>
      <patternFill patternType="solid">
        <fgColor theme="2" tint="-0.499984740745262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26"/>
      </patternFill>
    </fill>
    <fill>
      <patternFill patternType="solid">
        <fgColor theme="9" tint="-0.249977111117893"/>
        <bgColor indexed="26"/>
      </patternFill>
    </fill>
    <fill>
      <patternFill patternType="solid">
        <fgColor theme="1" tint="4.9989318521683403E-2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5" tint="-0.499984740745262"/>
        <bgColor indexed="2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indexed="26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" fillId="0" borderId="5" xfId="0" applyFont="1" applyBorder="1"/>
    <xf numFmtId="0" fontId="0" fillId="0" borderId="6" xfId="0" applyBorder="1"/>
    <xf numFmtId="0" fontId="9" fillId="0" borderId="6" xfId="0" applyFont="1" applyBorder="1"/>
    <xf numFmtId="0" fontId="0" fillId="0" borderId="7" xfId="0" applyBorder="1"/>
    <xf numFmtId="0" fontId="0" fillId="0" borderId="8" xfId="0" applyBorder="1"/>
    <xf numFmtId="0" fontId="10" fillId="0" borderId="0" xfId="0" applyFont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0" xfId="0" applyFont="1"/>
    <xf numFmtId="0" fontId="0" fillId="0" borderId="0" xfId="0" applyAlignment="1">
      <alignment horizontal="left" wrapText="1"/>
    </xf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9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12" fillId="0" borderId="0" xfId="0" applyFont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/>
    <xf numFmtId="0" fontId="9" fillId="0" borderId="4" xfId="0" applyFont="1" applyBorder="1"/>
    <xf numFmtId="0" fontId="0" fillId="0" borderId="4" xfId="0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3" fillId="5" borderId="29" xfId="0" applyFont="1" applyFill="1" applyBorder="1" applyAlignment="1" applyProtection="1">
      <alignment horizontal="center" vertical="center" wrapText="1"/>
      <protection locked="0"/>
    </xf>
    <xf numFmtId="0" fontId="3" fillId="5" borderId="29" xfId="0" applyFont="1" applyFill="1" applyBorder="1" applyAlignment="1" applyProtection="1">
      <alignment horizontal="left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6" fillId="11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vertical="center"/>
    </xf>
    <xf numFmtId="0" fontId="1" fillId="2" borderId="0" xfId="0" applyFont="1" applyFill="1" applyAlignment="1" applyProtection="1">
      <alignment horizontal="center" vertical="center"/>
      <protection hidden="1"/>
    </xf>
    <xf numFmtId="49" fontId="1" fillId="2" borderId="0" xfId="0" applyNumberFormat="1" applyFont="1" applyFill="1" applyAlignment="1" applyProtection="1">
      <alignment horizontal="center" vertical="center"/>
      <protection hidden="1"/>
    </xf>
    <xf numFmtId="2" fontId="8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1" fontId="18" fillId="8" borderId="16" xfId="0" applyNumberFormat="1" applyFont="1" applyFill="1" applyBorder="1" applyAlignment="1" applyProtection="1">
      <alignment horizontal="center" vertical="center"/>
      <protection locked="0"/>
    </xf>
    <xf numFmtId="1" fontId="18" fillId="8" borderId="4" xfId="0" applyNumberFormat="1" applyFont="1" applyFill="1" applyBorder="1" applyAlignment="1" applyProtection="1">
      <alignment horizontal="center" vertical="center"/>
      <protection locked="0"/>
    </xf>
    <xf numFmtId="1" fontId="18" fillId="8" borderId="30" xfId="0" applyNumberFormat="1" applyFont="1" applyFill="1" applyBorder="1" applyAlignment="1" applyProtection="1">
      <alignment horizontal="center" vertical="center"/>
      <protection locked="0"/>
    </xf>
    <xf numFmtId="1" fontId="18" fillId="8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Border="1"/>
    <xf numFmtId="0" fontId="0" fillId="0" borderId="28" xfId="0" applyBorder="1"/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2" fillId="15" borderId="40" xfId="0" applyFont="1" applyFill="1" applyBorder="1" applyAlignment="1" applyProtection="1">
      <alignment horizontal="center" vertical="center"/>
      <protection locked="0"/>
    </xf>
    <xf numFmtId="0" fontId="2" fillId="6" borderId="41" xfId="0" applyFont="1" applyFill="1" applyBorder="1" applyAlignment="1" applyProtection="1">
      <alignment horizontal="center" vertical="center"/>
      <protection locked="0"/>
    </xf>
    <xf numFmtId="0" fontId="2" fillId="7" borderId="41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15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15" borderId="43" xfId="0" applyFont="1" applyFill="1" applyBorder="1" applyAlignment="1" applyProtection="1">
      <alignment horizontal="center" vertical="center"/>
      <protection locked="0"/>
    </xf>
    <xf numFmtId="0" fontId="2" fillId="6" borderId="29" xfId="0" applyFont="1" applyFill="1" applyBorder="1" applyAlignment="1" applyProtection="1">
      <alignment horizontal="center" vertical="center"/>
      <protection locked="0"/>
    </xf>
    <xf numFmtId="0" fontId="2" fillId="7" borderId="29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9" fillId="0" borderId="46" xfId="0" applyFont="1" applyBorder="1"/>
    <xf numFmtId="0" fontId="0" fillId="0" borderId="47" xfId="0" applyBorder="1"/>
    <xf numFmtId="0" fontId="0" fillId="0" borderId="48" xfId="0" applyBorder="1"/>
    <xf numFmtId="0" fontId="9" fillId="0" borderId="33" xfId="0" applyFont="1" applyBorder="1"/>
    <xf numFmtId="0" fontId="9" fillId="0" borderId="49" xfId="0" applyFont="1" applyBorder="1"/>
    <xf numFmtId="0" fontId="0" fillId="0" borderId="36" xfId="0" applyBorder="1"/>
    <xf numFmtId="0" fontId="0" fillId="0" borderId="37" xfId="0" applyBorder="1"/>
    <xf numFmtId="0" fontId="0" fillId="0" borderId="28" xfId="0" applyBorder="1" applyAlignment="1">
      <alignment wrapText="1"/>
    </xf>
    <xf numFmtId="0" fontId="0" fillId="16" borderId="0" xfId="0" applyFill="1"/>
    <xf numFmtId="0" fontId="24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44" xfId="0" applyBorder="1"/>
    <xf numFmtId="0" fontId="1" fillId="17" borderId="0" xfId="0" applyFont="1" applyFill="1" applyAlignment="1">
      <alignment horizontal="center" vertical="center"/>
    </xf>
    <xf numFmtId="49" fontId="1" fillId="17" borderId="0" xfId="0" applyNumberFormat="1" applyFont="1" applyFill="1" applyAlignment="1">
      <alignment horizontal="center" vertical="center"/>
    </xf>
    <xf numFmtId="0" fontId="1" fillId="17" borderId="0" xfId="0" applyFont="1" applyFill="1" applyAlignment="1">
      <alignment horizontal="left" vertical="center"/>
    </xf>
    <xf numFmtId="49" fontId="6" fillId="17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0" fontId="29" fillId="0" borderId="0" xfId="0" applyFont="1"/>
    <xf numFmtId="0" fontId="0" fillId="0" borderId="4" xfId="0" applyBorder="1" applyAlignment="1">
      <alignment horizontal="left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49" fontId="6" fillId="11" borderId="14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vertical="center"/>
    </xf>
    <xf numFmtId="0" fontId="2" fillId="13" borderId="4" xfId="0" applyFont="1" applyFill="1" applyBorder="1" applyAlignment="1">
      <alignment vertical="center"/>
    </xf>
    <xf numFmtId="49" fontId="18" fillId="23" borderId="24" xfId="0" applyNumberFormat="1" applyFont="1" applyFill="1" applyBorder="1" applyAlignment="1">
      <alignment horizontal="center" vertical="center"/>
    </xf>
    <xf numFmtId="49" fontId="18" fillId="23" borderId="22" xfId="0" applyNumberFormat="1" applyFont="1" applyFill="1" applyBorder="1" applyAlignment="1">
      <alignment horizontal="center" vertical="center"/>
    </xf>
    <xf numFmtId="49" fontId="18" fillId="23" borderId="25" xfId="0" applyNumberFormat="1" applyFont="1" applyFill="1" applyBorder="1" applyAlignment="1">
      <alignment horizontal="center" vertical="center"/>
    </xf>
    <xf numFmtId="49" fontId="6" fillId="23" borderId="0" xfId="0" applyNumberFormat="1" applyFont="1" applyFill="1" applyAlignment="1">
      <alignment horizontal="center" vertical="center"/>
    </xf>
    <xf numFmtId="49" fontId="18" fillId="21" borderId="38" xfId="0" applyNumberFormat="1" applyFont="1" applyFill="1" applyBorder="1" applyAlignment="1">
      <alignment horizontal="center" vertical="center"/>
    </xf>
    <xf numFmtId="49" fontId="18" fillId="21" borderId="13" xfId="0" applyNumberFormat="1" applyFont="1" applyFill="1" applyBorder="1" applyAlignment="1">
      <alignment horizontal="center" vertical="center"/>
    </xf>
    <xf numFmtId="49" fontId="18" fillId="21" borderId="39" xfId="0" applyNumberFormat="1" applyFont="1" applyFill="1" applyBorder="1" applyAlignment="1">
      <alignment horizontal="center" vertical="center"/>
    </xf>
    <xf numFmtId="49" fontId="18" fillId="23" borderId="12" xfId="0" applyNumberFormat="1" applyFont="1" applyFill="1" applyBorder="1" applyAlignment="1">
      <alignment horizontal="center" vertical="center"/>
    </xf>
    <xf numFmtId="49" fontId="18" fillId="21" borderId="11" xfId="0" applyNumberFormat="1" applyFont="1" applyFill="1" applyBorder="1" applyAlignment="1">
      <alignment horizontal="center" vertical="center"/>
    </xf>
    <xf numFmtId="49" fontId="18" fillId="21" borderId="14" xfId="0" applyNumberFormat="1" applyFont="1" applyFill="1" applyBorder="1" applyAlignment="1">
      <alignment horizontal="center" vertical="center"/>
    </xf>
    <xf numFmtId="49" fontId="18" fillId="21" borderId="12" xfId="0" applyNumberFormat="1" applyFont="1" applyFill="1" applyBorder="1" applyAlignment="1">
      <alignment horizontal="center" vertical="center"/>
    </xf>
    <xf numFmtId="49" fontId="18" fillId="23" borderId="14" xfId="0" applyNumberFormat="1" applyFont="1" applyFill="1" applyBorder="1" applyAlignment="1">
      <alignment horizontal="center" vertical="center"/>
    </xf>
    <xf numFmtId="49" fontId="18" fillId="21" borderId="26" xfId="0" applyNumberFormat="1" applyFont="1" applyFill="1" applyBorder="1" applyAlignment="1">
      <alignment horizontal="center" vertical="center"/>
    </xf>
    <xf numFmtId="49" fontId="6" fillId="21" borderId="0" xfId="0" applyNumberFormat="1" applyFont="1" applyFill="1" applyAlignment="1" applyProtection="1">
      <alignment horizontal="center" vertical="center"/>
      <protection locked="0"/>
    </xf>
    <xf numFmtId="49" fontId="17" fillId="23" borderId="14" xfId="0" applyNumberFormat="1" applyFont="1" applyFill="1" applyBorder="1" applyAlignment="1">
      <alignment horizontal="right" vertical="center"/>
    </xf>
    <xf numFmtId="0" fontId="18" fillId="22" borderId="28" xfId="0" applyFont="1" applyFill="1" applyBorder="1" applyAlignment="1">
      <alignment horizontal="center" vertical="center" wrapText="1"/>
    </xf>
    <xf numFmtId="0" fontId="18" fillId="22" borderId="0" xfId="0" applyFont="1" applyFill="1" applyAlignment="1">
      <alignment horizontal="center" vertical="center" wrapText="1"/>
    </xf>
    <xf numFmtId="0" fontId="1" fillId="23" borderId="0" xfId="0" applyFont="1" applyFill="1" applyAlignment="1">
      <alignment horizontal="center" vertical="center"/>
    </xf>
    <xf numFmtId="49" fontId="25" fillId="2" borderId="0" xfId="0" applyNumberFormat="1" applyFont="1" applyFill="1" applyAlignment="1" applyProtection="1">
      <alignment horizontal="left" vertical="center"/>
      <protection hidden="1"/>
    </xf>
    <xf numFmtId="0" fontId="0" fillId="0" borderId="38" xfId="0" applyBorder="1"/>
    <xf numFmtId="0" fontId="0" fillId="0" borderId="39" xfId="0" applyBorder="1"/>
    <xf numFmtId="0" fontId="0" fillId="0" borderId="13" xfId="0" applyBorder="1"/>
    <xf numFmtId="0" fontId="0" fillId="0" borderId="0" xfId="0" quotePrefix="1"/>
    <xf numFmtId="9" fontId="6" fillId="11" borderId="14" xfId="0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9" fillId="0" borderId="35" xfId="0" applyFont="1" applyBorder="1"/>
    <xf numFmtId="0" fontId="0" fillId="0" borderId="53" xfId="0" applyBorder="1"/>
    <xf numFmtId="0" fontId="0" fillId="0" borderId="53" xfId="0" applyBorder="1" applyAlignment="1">
      <alignment wrapText="1"/>
    </xf>
    <xf numFmtId="0" fontId="0" fillId="0" borderId="16" xfId="0" applyBorder="1"/>
    <xf numFmtId="49" fontId="17" fillId="23" borderId="15" xfId="0" applyNumberFormat="1" applyFont="1" applyFill="1" applyBorder="1" applyAlignment="1">
      <alignment horizontal="center" vertical="center"/>
    </xf>
    <xf numFmtId="49" fontId="6" fillId="11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30" fillId="0" borderId="8" xfId="0" applyFont="1" applyBorder="1"/>
    <xf numFmtId="0" fontId="9" fillId="0" borderId="13" xfId="0" applyFont="1" applyBorder="1"/>
    <xf numFmtId="0" fontId="35" fillId="0" borderId="4" xfId="0" applyFont="1" applyBorder="1"/>
    <xf numFmtId="0" fontId="35" fillId="0" borderId="13" xfId="0" applyFont="1" applyBorder="1"/>
    <xf numFmtId="0" fontId="0" fillId="0" borderId="4" xfId="0" quotePrefix="1" applyBorder="1"/>
    <xf numFmtId="49" fontId="39" fillId="11" borderId="3" xfId="0" applyNumberFormat="1" applyFont="1" applyFill="1" applyBorder="1" applyAlignment="1">
      <alignment horizontal="center" vertical="center"/>
    </xf>
    <xf numFmtId="9" fontId="22" fillId="11" borderId="1" xfId="0" applyNumberFormat="1" applyFont="1" applyFill="1" applyBorder="1" applyAlignment="1">
      <alignment horizontal="center" vertical="center"/>
    </xf>
    <xf numFmtId="0" fontId="0" fillId="0" borderId="43" xfId="0" quotePrefix="1" applyBorder="1"/>
    <xf numFmtId="0" fontId="0" fillId="0" borderId="55" xfId="0" applyBorder="1"/>
    <xf numFmtId="0" fontId="1" fillId="14" borderId="15" xfId="0" applyFont="1" applyFill="1" applyBorder="1" applyAlignment="1" applyProtection="1">
      <alignment vertical="center"/>
      <protection locked="0"/>
    </xf>
    <xf numFmtId="0" fontId="1" fillId="14" borderId="16" xfId="0" applyFont="1" applyFill="1" applyBorder="1" applyAlignment="1" applyProtection="1">
      <alignment vertical="center"/>
      <protection locked="0"/>
    </xf>
    <xf numFmtId="49" fontId="17" fillId="21" borderId="17" xfId="0" applyNumberFormat="1" applyFont="1" applyFill="1" applyBorder="1" applyAlignment="1">
      <alignment horizontal="center" vertical="center"/>
    </xf>
    <xf numFmtId="49" fontId="17" fillId="21" borderId="0" xfId="0" applyNumberFormat="1" applyFont="1" applyFill="1" applyAlignment="1">
      <alignment horizontal="center" vertical="center"/>
    </xf>
    <xf numFmtId="49" fontId="17" fillId="21" borderId="21" xfId="0" applyNumberFormat="1" applyFont="1" applyFill="1" applyBorder="1" applyAlignment="1">
      <alignment horizontal="center" vertical="center"/>
    </xf>
    <xf numFmtId="49" fontId="18" fillId="21" borderId="23" xfId="0" applyNumberFormat="1" applyFont="1" applyFill="1" applyBorder="1" applyAlignment="1">
      <alignment horizontal="center" vertical="center"/>
    </xf>
    <xf numFmtId="0" fontId="27" fillId="22" borderId="22" xfId="0" applyFont="1" applyFill="1" applyBorder="1" applyAlignment="1">
      <alignment horizontal="center" vertical="center"/>
    </xf>
    <xf numFmtId="49" fontId="18" fillId="23" borderId="23" xfId="0" applyNumberFormat="1" applyFont="1" applyFill="1" applyBorder="1" applyAlignment="1">
      <alignment horizontal="center" vertical="center"/>
    </xf>
    <xf numFmtId="49" fontId="18" fillId="23" borderId="22" xfId="0" applyNumberFormat="1" applyFont="1" applyFill="1" applyBorder="1" applyAlignment="1">
      <alignment horizontal="center" vertical="center"/>
    </xf>
    <xf numFmtId="49" fontId="18" fillId="23" borderId="11" xfId="0" applyNumberFormat="1" applyFont="1" applyFill="1" applyBorder="1" applyAlignment="1">
      <alignment horizontal="center" vertical="center"/>
    </xf>
    <xf numFmtId="49" fontId="18" fillId="23" borderId="12" xfId="0" applyNumberFormat="1" applyFont="1" applyFill="1" applyBorder="1" applyAlignment="1">
      <alignment horizontal="center" vertical="center"/>
    </xf>
    <xf numFmtId="1" fontId="7" fillId="18" borderId="15" xfId="0" applyNumberFormat="1" applyFont="1" applyFill="1" applyBorder="1" applyAlignment="1">
      <alignment horizontal="center" vertical="center"/>
    </xf>
    <xf numFmtId="1" fontId="7" fillId="18" borderId="32" xfId="0" applyNumberFormat="1" applyFont="1" applyFill="1" applyBorder="1" applyAlignment="1">
      <alignment horizontal="center" vertical="center"/>
    </xf>
    <xf numFmtId="1" fontId="7" fillId="18" borderId="16" xfId="0" applyNumberFormat="1" applyFont="1" applyFill="1" applyBorder="1" applyAlignment="1">
      <alignment horizontal="center" vertical="center"/>
    </xf>
    <xf numFmtId="1" fontId="7" fillId="13" borderId="15" xfId="0" applyNumberFormat="1" applyFont="1" applyFill="1" applyBorder="1" applyAlignment="1">
      <alignment horizontal="center" vertical="center"/>
    </xf>
    <xf numFmtId="1" fontId="7" fillId="13" borderId="32" xfId="0" applyNumberFormat="1" applyFont="1" applyFill="1" applyBorder="1" applyAlignment="1">
      <alignment horizontal="center" vertical="center"/>
    </xf>
    <xf numFmtId="1" fontId="7" fillId="13" borderId="16" xfId="0" applyNumberFormat="1" applyFont="1" applyFill="1" applyBorder="1" applyAlignment="1">
      <alignment horizontal="center" vertical="center"/>
    </xf>
    <xf numFmtId="49" fontId="17" fillId="23" borderId="15" xfId="0" applyNumberFormat="1" applyFont="1" applyFill="1" applyBorder="1" applyAlignment="1">
      <alignment horizontal="center" vertical="center"/>
    </xf>
    <xf numFmtId="49" fontId="17" fillId="23" borderId="32" xfId="0" applyNumberFormat="1" applyFont="1" applyFill="1" applyBorder="1" applyAlignment="1">
      <alignment horizontal="center" vertical="center"/>
    </xf>
    <xf numFmtId="49" fontId="17" fillId="23" borderId="16" xfId="0" applyNumberFormat="1" applyFont="1" applyFill="1" applyBorder="1" applyAlignment="1">
      <alignment horizontal="center" vertical="center"/>
    </xf>
    <xf numFmtId="49" fontId="20" fillId="19" borderId="3" xfId="0" applyNumberFormat="1" applyFont="1" applyFill="1" applyBorder="1" applyAlignment="1">
      <alignment horizontal="center" vertical="center"/>
    </xf>
    <xf numFmtId="49" fontId="20" fillId="19" borderId="0" xfId="0" applyNumberFormat="1" applyFont="1" applyFill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5" fillId="9" borderId="15" xfId="0" applyFont="1" applyFill="1" applyBorder="1" applyAlignment="1" applyProtection="1">
      <alignment horizontal="center" vertical="center"/>
      <protection locked="0"/>
    </xf>
    <xf numFmtId="0" fontId="5" fillId="9" borderId="16" xfId="0" applyFont="1" applyFill="1" applyBorder="1" applyAlignment="1" applyProtection="1">
      <alignment horizontal="center" vertical="center"/>
      <protection locked="0"/>
    </xf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14" borderId="52" xfId="0" applyFont="1" applyFill="1" applyBorder="1" applyAlignment="1" applyProtection="1">
      <alignment vertical="center"/>
      <protection locked="0"/>
    </xf>
    <xf numFmtId="0" fontId="1" fillId="14" borderId="30" xfId="0" applyFont="1" applyFill="1" applyBorder="1" applyAlignment="1" applyProtection="1">
      <alignment vertical="center"/>
      <protection locked="0"/>
    </xf>
    <xf numFmtId="49" fontId="18" fillId="23" borderId="15" xfId="0" applyNumberFormat="1" applyFont="1" applyFill="1" applyBorder="1" applyAlignment="1">
      <alignment horizontal="center" vertical="center"/>
    </xf>
    <xf numFmtId="49" fontId="18" fillId="23" borderId="16" xfId="0" applyNumberFormat="1" applyFont="1" applyFill="1" applyBorder="1" applyAlignment="1">
      <alignment horizontal="center" vertical="center"/>
    </xf>
    <xf numFmtId="0" fontId="32" fillId="9" borderId="15" xfId="0" applyFont="1" applyFill="1" applyBorder="1" applyAlignment="1" applyProtection="1">
      <alignment horizontal="center" vertical="center"/>
      <protection locked="0"/>
    </xf>
    <xf numFmtId="0" fontId="32" fillId="9" borderId="16" xfId="0" applyFont="1" applyFill="1" applyBorder="1" applyAlignment="1" applyProtection="1">
      <alignment horizontal="center" vertical="center"/>
      <protection locked="0"/>
    </xf>
    <xf numFmtId="0" fontId="19" fillId="9" borderId="15" xfId="0" applyFont="1" applyFill="1" applyBorder="1" applyAlignment="1" applyProtection="1">
      <alignment horizontal="center" vertical="center"/>
      <protection locked="0"/>
    </xf>
    <xf numFmtId="0" fontId="19" fillId="9" borderId="32" xfId="0" applyFont="1" applyFill="1" applyBorder="1" applyAlignment="1" applyProtection="1">
      <alignment horizontal="center" vertical="center"/>
      <protection locked="0"/>
    </xf>
    <xf numFmtId="0" fontId="19" fillId="9" borderId="16" xfId="0" applyFont="1" applyFill="1" applyBorder="1" applyAlignment="1" applyProtection="1">
      <alignment horizontal="center" vertical="center"/>
      <protection locked="0"/>
    </xf>
    <xf numFmtId="49" fontId="33" fillId="23" borderId="15" xfId="0" applyNumberFormat="1" applyFont="1" applyFill="1" applyBorder="1" applyAlignment="1">
      <alignment horizontal="center" vertical="center"/>
    </xf>
    <xf numFmtId="49" fontId="33" fillId="23" borderId="32" xfId="0" applyNumberFormat="1" applyFont="1" applyFill="1" applyBorder="1" applyAlignment="1">
      <alignment horizontal="center" vertical="center"/>
    </xf>
    <xf numFmtId="49" fontId="33" fillId="23" borderId="16" xfId="0" applyNumberFormat="1" applyFont="1" applyFill="1" applyBorder="1" applyAlignment="1">
      <alignment horizontal="center" vertical="center"/>
    </xf>
    <xf numFmtId="0" fontId="6" fillId="8" borderId="15" xfId="0" applyFont="1" applyFill="1" applyBorder="1" applyAlignment="1" applyProtection="1">
      <alignment horizontal="center" vertical="center"/>
      <protection locked="0" hidden="1"/>
    </xf>
    <xf numFmtId="0" fontId="6" fillId="8" borderId="32" xfId="0" applyFont="1" applyFill="1" applyBorder="1" applyAlignment="1" applyProtection="1">
      <alignment horizontal="center" vertical="center"/>
      <protection locked="0" hidden="1"/>
    </xf>
    <xf numFmtId="0" fontId="6" fillId="8" borderId="16" xfId="0" applyFont="1" applyFill="1" applyBorder="1" applyAlignment="1" applyProtection="1">
      <alignment horizontal="center" vertical="center"/>
      <protection locked="0" hidden="1"/>
    </xf>
    <xf numFmtId="49" fontId="31" fillId="20" borderId="15" xfId="0" applyNumberFormat="1" applyFont="1" applyFill="1" applyBorder="1" applyAlignment="1" applyProtection="1">
      <alignment horizontal="center" vertical="center"/>
      <protection locked="0" hidden="1"/>
    </xf>
    <xf numFmtId="49" fontId="31" fillId="20" borderId="16" xfId="0" applyNumberFormat="1" applyFont="1" applyFill="1" applyBorder="1" applyAlignment="1" applyProtection="1">
      <alignment horizontal="center" vertical="center"/>
      <protection locked="0" hidden="1"/>
    </xf>
    <xf numFmtId="0" fontId="23" fillId="2" borderId="15" xfId="0" applyFont="1" applyFill="1" applyBorder="1" applyAlignment="1" applyProtection="1">
      <alignment horizontal="center" vertical="center"/>
      <protection locked="0" hidden="1"/>
    </xf>
    <xf numFmtId="0" fontId="23" fillId="2" borderId="16" xfId="0" applyFont="1" applyFill="1" applyBorder="1" applyAlignment="1" applyProtection="1">
      <alignment horizontal="center" vertical="center"/>
      <protection locked="0" hidden="1"/>
    </xf>
    <xf numFmtId="49" fontId="37" fillId="23" borderId="34" xfId="0" applyNumberFormat="1" applyFont="1" applyFill="1" applyBorder="1" applyAlignment="1">
      <alignment horizontal="center" vertical="center"/>
    </xf>
    <xf numFmtId="49" fontId="37" fillId="23" borderId="51" xfId="0" applyNumberFormat="1" applyFont="1" applyFill="1" applyBorder="1" applyAlignment="1">
      <alignment horizontal="center" vertical="center"/>
    </xf>
    <xf numFmtId="49" fontId="36" fillId="10" borderId="34" xfId="0" applyNumberFormat="1" applyFont="1" applyFill="1" applyBorder="1" applyAlignment="1" applyProtection="1">
      <alignment horizontal="center" vertical="center"/>
      <protection locked="0"/>
    </xf>
    <xf numFmtId="49" fontId="36" fillId="10" borderId="51" xfId="0" applyNumberFormat="1" applyFont="1" applyFill="1" applyBorder="1" applyAlignment="1" applyProtection="1">
      <alignment horizontal="center" vertical="center"/>
      <protection locked="0"/>
    </xf>
    <xf numFmtId="49" fontId="38" fillId="18" borderId="34" xfId="0" applyNumberFormat="1" applyFont="1" applyFill="1" applyBorder="1" applyAlignment="1" applyProtection="1">
      <alignment horizontal="center" vertical="center"/>
      <protection locked="0"/>
    </xf>
    <xf numFmtId="49" fontId="37" fillId="10" borderId="34" xfId="0" applyNumberFormat="1" applyFont="1" applyFill="1" applyBorder="1" applyAlignment="1">
      <alignment horizontal="center" vertical="center"/>
    </xf>
    <xf numFmtId="49" fontId="21" fillId="10" borderId="45" xfId="0" applyNumberFormat="1" applyFont="1" applyFill="1" applyBorder="1" applyAlignment="1" applyProtection="1">
      <alignment horizontal="center" vertical="center"/>
      <protection locked="0"/>
    </xf>
    <xf numFmtId="49" fontId="21" fillId="10" borderId="34" xfId="0" applyNumberFormat="1" applyFont="1" applyFill="1" applyBorder="1" applyAlignment="1" applyProtection="1">
      <alignment horizontal="center" vertical="center"/>
      <protection locked="0"/>
    </xf>
    <xf numFmtId="49" fontId="21" fillId="10" borderId="35" xfId="0" applyNumberFormat="1" applyFont="1" applyFill="1" applyBorder="1" applyAlignment="1" applyProtection="1">
      <alignment horizontal="center" vertical="center"/>
      <protection locked="0"/>
    </xf>
    <xf numFmtId="49" fontId="34" fillId="10" borderId="54" xfId="0" applyNumberFormat="1" applyFont="1" applyFill="1" applyBorder="1" applyAlignment="1" applyProtection="1">
      <alignment horizontal="center" vertical="center"/>
      <protection locked="0"/>
    </xf>
    <xf numFmtId="49" fontId="34" fillId="10" borderId="34" xfId="0" applyNumberFormat="1" applyFont="1" applyFill="1" applyBorder="1" applyAlignment="1" applyProtection="1">
      <alignment horizontal="center" vertical="center"/>
      <protection locked="0"/>
    </xf>
    <xf numFmtId="49" fontId="34" fillId="10" borderId="51" xfId="0" applyNumberFormat="1" applyFont="1" applyFill="1" applyBorder="1" applyAlignment="1" applyProtection="1">
      <alignment horizontal="center" vertical="center"/>
      <protection locked="0"/>
    </xf>
    <xf numFmtId="49" fontId="28" fillId="23" borderId="45" xfId="0" applyNumberFormat="1" applyFont="1" applyFill="1" applyBorder="1" applyAlignment="1">
      <alignment horizontal="center" vertical="center"/>
    </xf>
    <xf numFmtId="49" fontId="28" fillId="23" borderId="35" xfId="0" applyNumberFormat="1" applyFont="1" applyFill="1" applyBorder="1" applyAlignment="1">
      <alignment horizontal="center" vertical="center"/>
    </xf>
    <xf numFmtId="0" fontId="6" fillId="12" borderId="15" xfId="0" applyFont="1" applyFill="1" applyBorder="1" applyAlignment="1" applyProtection="1">
      <alignment horizontal="center" vertical="center"/>
      <protection hidden="1"/>
    </xf>
    <xf numFmtId="0" fontId="6" fillId="12" borderId="32" xfId="0" applyFont="1" applyFill="1" applyBorder="1" applyAlignment="1" applyProtection="1">
      <alignment horizontal="center" vertical="center"/>
      <protection hidden="1"/>
    </xf>
    <xf numFmtId="0" fontId="6" fillId="12" borderId="16" xfId="0" applyFont="1" applyFill="1" applyBorder="1" applyAlignment="1" applyProtection="1">
      <alignment horizontal="center" vertical="center"/>
      <protection hidden="1"/>
    </xf>
    <xf numFmtId="0" fontId="6" fillId="8" borderId="15" xfId="0" applyFont="1" applyFill="1" applyBorder="1" applyAlignment="1" applyProtection="1">
      <alignment horizontal="center" vertical="center"/>
      <protection hidden="1"/>
    </xf>
    <xf numFmtId="0" fontId="6" fillId="8" borderId="16" xfId="0" applyFont="1" applyFill="1" applyBorder="1" applyAlignment="1" applyProtection="1">
      <alignment horizontal="center" vertical="center"/>
      <protection hidden="1"/>
    </xf>
    <xf numFmtId="0" fontId="18" fillId="23" borderId="15" xfId="0" applyFont="1" applyFill="1" applyBorder="1" applyAlignment="1" applyProtection="1">
      <alignment horizontal="center" vertical="center"/>
      <protection hidden="1"/>
    </xf>
    <xf numFmtId="0" fontId="18" fillId="23" borderId="32" xfId="0" applyFont="1" applyFill="1" applyBorder="1" applyAlignment="1" applyProtection="1">
      <alignment horizontal="center" vertical="center"/>
      <protection hidden="1"/>
    </xf>
    <xf numFmtId="0" fontId="18" fillId="23" borderId="16" xfId="0" applyFont="1" applyFill="1" applyBorder="1" applyAlignment="1" applyProtection="1">
      <alignment horizontal="center" vertical="center"/>
      <protection hidden="1"/>
    </xf>
    <xf numFmtId="49" fontId="38" fillId="13" borderId="3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9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40</xdr:row>
          <xdr:rowOff>7620</xdr:rowOff>
        </xdr:from>
        <xdr:to>
          <xdr:col>11</xdr:col>
          <xdr:colOff>30480</xdr:colOff>
          <xdr:row>41</xdr:row>
          <xdr:rowOff>106680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41</xdr:row>
          <xdr:rowOff>38100</xdr:rowOff>
        </xdr:from>
        <xdr:to>
          <xdr:col>11</xdr:col>
          <xdr:colOff>45720</xdr:colOff>
          <xdr:row>42</xdr:row>
          <xdr:rowOff>99060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AVERAGE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42</xdr:row>
          <xdr:rowOff>22860</xdr:rowOff>
        </xdr:from>
        <xdr:to>
          <xdr:col>11</xdr:col>
          <xdr:colOff>45720</xdr:colOff>
          <xdr:row>43</xdr:row>
          <xdr:rowOff>121920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POOR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511968</xdr:colOff>
      <xdr:row>43</xdr:row>
      <xdr:rowOff>11907</xdr:rowOff>
    </xdr:from>
    <xdr:to>
      <xdr:col>8</xdr:col>
      <xdr:colOff>1809749</xdr:colOff>
      <xdr:row>56</xdr:row>
      <xdr:rowOff>123109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3DC"/>
            </a:clrFrom>
            <a:clrTo>
              <a:srgbClr val="FDF3D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3536157"/>
          <a:ext cx="1297781" cy="274248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40</xdr:row>
          <xdr:rowOff>7620</xdr:rowOff>
        </xdr:from>
        <xdr:to>
          <xdr:col>11</xdr:col>
          <xdr:colOff>30480</xdr:colOff>
          <xdr:row>41</xdr:row>
          <xdr:rowOff>106680</xdr:rowOff>
        </xdr:to>
        <xdr:sp macro="" textlink="">
          <xdr:nvSpPr>
            <xdr:cNvPr id="62465" name="Check Box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1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41</xdr:row>
          <xdr:rowOff>38100</xdr:rowOff>
        </xdr:from>
        <xdr:to>
          <xdr:col>11</xdr:col>
          <xdr:colOff>45720</xdr:colOff>
          <xdr:row>42</xdr:row>
          <xdr:rowOff>99060</xdr:rowOff>
        </xdr:to>
        <xdr:sp macro="" textlink="">
          <xdr:nvSpPr>
            <xdr:cNvPr id="62466" name="Check Box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1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AVERAGE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42</xdr:row>
          <xdr:rowOff>22860</xdr:rowOff>
        </xdr:from>
        <xdr:to>
          <xdr:col>11</xdr:col>
          <xdr:colOff>45720</xdr:colOff>
          <xdr:row>43</xdr:row>
          <xdr:rowOff>121920</xdr:rowOff>
        </xdr:to>
        <xdr:sp macro="" textlink="">
          <xdr:nvSpPr>
            <xdr:cNvPr id="62467" name="Check Box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1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POOR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511968</xdr:colOff>
      <xdr:row>43</xdr:row>
      <xdr:rowOff>11907</xdr:rowOff>
    </xdr:from>
    <xdr:to>
      <xdr:col>8</xdr:col>
      <xdr:colOff>1809749</xdr:colOff>
      <xdr:row>56</xdr:row>
      <xdr:rowOff>123109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3DC"/>
            </a:clrFrom>
            <a:clrTo>
              <a:srgbClr val="FDF3D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7618" y="9098757"/>
          <a:ext cx="1297781" cy="274010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40</xdr:row>
          <xdr:rowOff>7620</xdr:rowOff>
        </xdr:from>
        <xdr:to>
          <xdr:col>11</xdr:col>
          <xdr:colOff>30480</xdr:colOff>
          <xdr:row>41</xdr:row>
          <xdr:rowOff>106680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2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41</xdr:row>
          <xdr:rowOff>38100</xdr:rowOff>
        </xdr:from>
        <xdr:to>
          <xdr:col>11</xdr:col>
          <xdr:colOff>45720</xdr:colOff>
          <xdr:row>42</xdr:row>
          <xdr:rowOff>99060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2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AVERAGE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42</xdr:row>
          <xdr:rowOff>22860</xdr:rowOff>
        </xdr:from>
        <xdr:to>
          <xdr:col>11</xdr:col>
          <xdr:colOff>45720</xdr:colOff>
          <xdr:row>43</xdr:row>
          <xdr:rowOff>121920</xdr:rowOff>
        </xdr:to>
        <xdr:sp macro="" textlink="">
          <xdr:nvSpPr>
            <xdr:cNvPr id="63491" name="Check Box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2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POOR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511968</xdr:colOff>
      <xdr:row>43</xdr:row>
      <xdr:rowOff>11907</xdr:rowOff>
    </xdr:from>
    <xdr:to>
      <xdr:col>8</xdr:col>
      <xdr:colOff>1809749</xdr:colOff>
      <xdr:row>56</xdr:row>
      <xdr:rowOff>123109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3DC"/>
            </a:clrFrom>
            <a:clrTo>
              <a:srgbClr val="FDF3D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7618" y="9098757"/>
          <a:ext cx="1297781" cy="274010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M90"/>
  <sheetViews>
    <sheetView tabSelected="1" zoomScale="80" zoomScaleNormal="80" workbookViewId="0">
      <selection activeCell="E3" sqref="E3:M3"/>
    </sheetView>
  </sheetViews>
  <sheetFormatPr defaultColWidth="0" defaultRowHeight="0" customHeight="1" zeroHeight="1"/>
  <cols>
    <col min="1" max="1" width="4.44140625" style="46" customWidth="1"/>
    <col min="2" max="2" width="2.109375" style="46" customWidth="1"/>
    <col min="3" max="3" width="7" style="46" customWidth="1"/>
    <col min="4" max="5" width="7.33203125" style="46" customWidth="1"/>
    <col min="6" max="6" width="6.88671875" style="46" customWidth="1"/>
    <col min="7" max="7" width="7.33203125" style="47" customWidth="1"/>
    <col min="8" max="8" width="7.109375" style="47" customWidth="1"/>
    <col min="9" max="9" width="38.44140625" style="47" customWidth="1"/>
    <col min="10" max="10" width="10.33203125" style="47" customWidth="1"/>
    <col min="11" max="11" width="15.5546875" style="47" customWidth="1"/>
    <col min="12" max="12" width="7.33203125" style="47" bestFit="1" customWidth="1"/>
    <col min="13" max="13" width="6.33203125" style="50" customWidth="1"/>
    <col min="14" max="14" width="6.33203125" style="46" bestFit="1" customWidth="1"/>
    <col min="15" max="15" width="10.33203125" style="46" customWidth="1"/>
    <col min="16" max="16" width="15.5546875" style="46" customWidth="1"/>
    <col min="17" max="17" width="12.109375" style="46" customWidth="1"/>
    <col min="18" max="18" width="7.88671875" style="46" customWidth="1"/>
    <col min="19" max="19" width="10.88671875" style="46" customWidth="1"/>
    <col min="20" max="20" width="2" style="46" customWidth="1"/>
    <col min="21" max="21" width="2.109375" style="46" customWidth="1"/>
    <col min="22" max="39" width="0" style="46" hidden="1" customWidth="1"/>
    <col min="40" max="16384" width="9.109375" style="46" hidden="1"/>
  </cols>
  <sheetData>
    <row r="1" spans="2:21" ht="10.5" customHeight="1" thickBot="1">
      <c r="B1" s="85"/>
      <c r="C1" s="85"/>
      <c r="D1" s="85"/>
      <c r="E1" s="85"/>
      <c r="F1" s="85"/>
      <c r="G1" s="86"/>
      <c r="H1" s="86"/>
      <c r="I1" s="86"/>
      <c r="J1" s="86"/>
      <c r="K1" s="86"/>
      <c r="L1" s="86"/>
      <c r="M1" s="87"/>
      <c r="N1" s="85"/>
      <c r="O1" s="85"/>
      <c r="P1" s="85"/>
      <c r="Q1" s="85"/>
      <c r="R1" s="85"/>
      <c r="S1" s="85"/>
      <c r="T1" s="85"/>
      <c r="U1" s="85"/>
    </row>
    <row r="2" spans="2:21" ht="45.6" thickBot="1">
      <c r="B2" s="85"/>
      <c r="C2" s="193" t="s">
        <v>257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4"/>
      <c r="T2" s="119"/>
      <c r="U2" s="85"/>
    </row>
    <row r="3" spans="2:21" ht="25.8" thickBot="1">
      <c r="B3" s="85"/>
      <c r="C3" s="205" t="s">
        <v>71</v>
      </c>
      <c r="D3" s="206"/>
      <c r="E3" s="202"/>
      <c r="F3" s="203"/>
      <c r="G3" s="203"/>
      <c r="H3" s="203"/>
      <c r="I3" s="203"/>
      <c r="J3" s="203"/>
      <c r="K3" s="203"/>
      <c r="L3" s="203"/>
      <c r="M3" s="204"/>
      <c r="N3" s="116" t="s">
        <v>178</v>
      </c>
      <c r="O3" s="199"/>
      <c r="P3" s="200"/>
      <c r="Q3" s="200"/>
      <c r="R3" s="200"/>
      <c r="S3" s="201"/>
      <c r="T3" s="119"/>
      <c r="U3" s="85"/>
    </row>
    <row r="4" spans="2:21" ht="15.6">
      <c r="B4" s="85"/>
      <c r="C4" s="146" t="s">
        <v>0</v>
      </c>
      <c r="D4" s="147"/>
      <c r="E4" s="147"/>
      <c r="F4" s="148"/>
      <c r="G4" s="149"/>
      <c r="H4" s="150"/>
      <c r="I4" s="151"/>
      <c r="J4" s="152"/>
      <c r="K4" s="102"/>
      <c r="L4" s="102"/>
      <c r="M4" s="103"/>
      <c r="N4" s="102"/>
      <c r="O4" s="102"/>
      <c r="P4" s="102"/>
      <c r="Q4" s="102"/>
      <c r="R4" s="102"/>
      <c r="S4" s="104" t="s">
        <v>11</v>
      </c>
      <c r="T4" s="105"/>
      <c r="U4" s="85"/>
    </row>
    <row r="5" spans="2:21" ht="14.4" thickBot="1">
      <c r="B5" s="85"/>
      <c r="C5" s="106" t="s">
        <v>1</v>
      </c>
      <c r="D5" s="107" t="s">
        <v>2</v>
      </c>
      <c r="E5" s="107" t="s">
        <v>3</v>
      </c>
      <c r="F5" s="108" t="s">
        <v>4</v>
      </c>
      <c r="G5" s="110" t="s">
        <v>61</v>
      </c>
      <c r="H5" s="109" t="s">
        <v>62</v>
      </c>
      <c r="I5" s="153" t="s">
        <v>24</v>
      </c>
      <c r="J5" s="154"/>
      <c r="K5" s="111" t="s">
        <v>5</v>
      </c>
      <c r="L5" s="111" t="s">
        <v>7</v>
      </c>
      <c r="M5" s="112" t="s">
        <v>8</v>
      </c>
      <c r="N5" s="111" t="s">
        <v>9</v>
      </c>
      <c r="O5" s="111" t="s">
        <v>10</v>
      </c>
      <c r="P5" s="111" t="s">
        <v>25</v>
      </c>
      <c r="Q5" s="113" t="s">
        <v>64</v>
      </c>
      <c r="R5" s="113" t="s">
        <v>140</v>
      </c>
      <c r="S5" s="114"/>
      <c r="T5" s="115"/>
      <c r="U5" s="85"/>
    </row>
    <row r="6" spans="2:21" ht="15.6">
      <c r="B6" s="85"/>
      <c r="C6" s="61"/>
      <c r="D6" s="62"/>
      <c r="E6" s="63"/>
      <c r="F6" s="64"/>
      <c r="G6" s="51"/>
      <c r="H6" s="52"/>
      <c r="I6" s="144"/>
      <c r="J6" s="145"/>
      <c r="K6" s="27"/>
      <c r="L6" s="71"/>
      <c r="M6" s="71"/>
      <c r="N6" s="27"/>
      <c r="O6" s="27"/>
      <c r="P6" s="28"/>
      <c r="Q6" s="29"/>
      <c r="R6" s="29"/>
      <c r="S6" s="117" t="str">
        <f>IFERROR(IF(K6="FOR",5,IF(OR(K6="ART",P6="Bomb"),VLOOKUP(P6,Tables!$L$3:$M$29,2,FALSE)+IF(Q6="",0,VLOOKUP(Q6,Tables!$B$33:$C$41,2,FALSE)),IF(R6="2-",ROUNDUP(0.75*(VLOOKUP(K6,Tables!$E$3:$F$18,2,FALSE)+VLOOKUP(L6,Tables!$O$3:$P$10,2,FALSE)+VLOOKUP(M6,Tables!$R$3:$S$9,2,FALSE)+IF(N6="",0,VLOOKUP(N6,Tables!$B$3:$C$5,2,FALSE))+IF(P6="",0,VLOOKUP(P6,Tables!$L$3:$M$29,2,FALSE))+IF(Q6="",0,VLOOKUP(Q6,Tables!$B$33:$C$41,2,FALSE))),0),VLOOKUP(K6,Tables!$E$3:$F$18,2,FALSE)+VLOOKUP(L6,Tables!$O$3:$P$10,2,FALSE)+VLOOKUP(M6,Tables!$R$3:$S$9,2,FALSE)+IF(N6="",0,VLOOKUP(N6,Tables!$B$3:$C$5,2,FALSE))+IF(P6="",0,VLOOKUP(P6,Tables!$L$3:$M$29,2,FALSE))+IF(Q6="",0,VLOOKUP(Q6,Tables!$B$33:$C$41,2,FALSE))))),"")</f>
        <v/>
      </c>
      <c r="T6" s="118" t="str">
        <f>IF(AND(C6="",D6="",E6="",F6=""),"","Y")</f>
        <v/>
      </c>
      <c r="U6" s="85"/>
    </row>
    <row r="7" spans="2:21" ht="15.6">
      <c r="B7" s="85"/>
      <c r="C7" s="65"/>
      <c r="D7" s="59"/>
      <c r="E7" s="60"/>
      <c r="F7" s="66"/>
      <c r="G7" s="51"/>
      <c r="H7" s="52"/>
      <c r="I7" s="144"/>
      <c r="J7" s="145"/>
      <c r="K7" s="27"/>
      <c r="L7" s="71"/>
      <c r="M7" s="71"/>
      <c r="N7" s="27"/>
      <c r="O7" s="27"/>
      <c r="P7" s="28"/>
      <c r="Q7" s="29"/>
      <c r="R7" s="29"/>
      <c r="S7" s="117" t="str">
        <f>IFERROR(IF(K7="FOR",5,IF(OR(K7="ART",P7="Bomb"),VLOOKUP(P7,Tables!$L$3:$M$29,2,FALSE)+IF(Q7="",0,VLOOKUP(Q7,Tables!$B$33:$C$41,2,FALSE)),IF(R7="2-",ROUNDUP(0.75*(VLOOKUP(K7,Tables!$E$3:$F$18,2,FALSE)+VLOOKUP(L7,Tables!$O$3:$P$10,2,FALSE)+VLOOKUP(M7,Tables!$R$3:$S$9,2,FALSE)+IF(N7="",0,VLOOKUP(N7,Tables!$B$3:$C$5,2,FALSE))+IF(P7="",0,VLOOKUP(P7,Tables!$L$3:$M$29,2,FALSE))+IF(Q7="",0,VLOOKUP(Q7,Tables!$B$33:$C$41,2,FALSE))),0),VLOOKUP(K7,Tables!$E$3:$F$18,2,FALSE)+VLOOKUP(L7,Tables!$O$3:$P$10,2,FALSE)+VLOOKUP(M7,Tables!$R$3:$S$9,2,FALSE)+IF(N7="",0,VLOOKUP(N7,Tables!$B$3:$C$5,2,FALSE))+IF(P7="",0,VLOOKUP(P7,Tables!$L$3:$M$29,2,FALSE))+IF(Q7="",0,VLOOKUP(Q7,Tables!$B$33:$C$41,2,FALSE))))),"")</f>
        <v/>
      </c>
      <c r="T7" s="118" t="str">
        <f t="shared" ref="T7:T40" si="0">IF(AND(C7="",D7="",E7="",F7=""),"","Y")</f>
        <v/>
      </c>
      <c r="U7" s="85"/>
    </row>
    <row r="8" spans="2:21" ht="15.6">
      <c r="B8" s="85"/>
      <c r="C8" s="65"/>
      <c r="D8" s="59"/>
      <c r="E8" s="60"/>
      <c r="F8" s="66"/>
      <c r="G8" s="51"/>
      <c r="H8" s="52"/>
      <c r="I8" s="144"/>
      <c r="J8" s="145"/>
      <c r="K8" s="27"/>
      <c r="L8" s="71"/>
      <c r="M8" s="71"/>
      <c r="N8" s="27"/>
      <c r="O8" s="27"/>
      <c r="P8" s="28"/>
      <c r="Q8" s="29"/>
      <c r="R8" s="29"/>
      <c r="S8" s="117" t="str">
        <f>IFERROR(IF(K8="FOR",5,IF(OR(K8="ART",P8="Bomb"),VLOOKUP(P8,Tables!$L$3:$M$29,2,FALSE)+IF(Q8="",0,VLOOKUP(Q8,Tables!$B$33:$C$41,2,FALSE)),IF(R8="2-",ROUNDUP(0.75*(VLOOKUP(K8,Tables!$E$3:$F$18,2,FALSE)+VLOOKUP(L8,Tables!$O$3:$P$10,2,FALSE)+VLOOKUP(M8,Tables!$R$3:$S$9,2,FALSE)+IF(N8="",0,VLOOKUP(N8,Tables!$B$3:$C$5,2,FALSE))+IF(P8="",0,VLOOKUP(P8,Tables!$L$3:$M$29,2,FALSE))+IF(Q8="",0,VLOOKUP(Q8,Tables!$B$33:$C$41,2,FALSE))),0),VLOOKUP(K8,Tables!$E$3:$F$18,2,FALSE)+VLOOKUP(L8,Tables!$O$3:$P$10,2,FALSE)+VLOOKUP(M8,Tables!$R$3:$S$9,2,FALSE)+IF(N8="",0,VLOOKUP(N8,Tables!$B$3:$C$5,2,FALSE))+IF(P8="",0,VLOOKUP(P8,Tables!$L$3:$M$29,2,FALSE))+IF(Q8="",0,VLOOKUP(Q8,Tables!$B$33:$C$41,2,FALSE))))),"")</f>
        <v/>
      </c>
      <c r="T8" s="118" t="str">
        <f t="shared" si="0"/>
        <v/>
      </c>
      <c r="U8" s="85"/>
    </row>
    <row r="9" spans="2:21" ht="15.6">
      <c r="B9" s="85"/>
      <c r="C9" s="65"/>
      <c r="D9" s="59"/>
      <c r="E9" s="60"/>
      <c r="F9" s="66"/>
      <c r="G9" s="51"/>
      <c r="H9" s="52"/>
      <c r="I9" s="144"/>
      <c r="J9" s="145"/>
      <c r="K9" s="27"/>
      <c r="L9" s="71"/>
      <c r="M9" s="71"/>
      <c r="N9" s="27"/>
      <c r="O9" s="27"/>
      <c r="P9" s="28"/>
      <c r="Q9" s="29"/>
      <c r="R9" s="29"/>
      <c r="S9" s="117" t="str">
        <f>IFERROR(IF(K9="FOR",5,IF(OR(K9="ART",P9="Bomb"),VLOOKUP(P9,Tables!$L$3:$M$29,2,FALSE)+IF(Q9="",0,VLOOKUP(Q9,Tables!$B$33:$C$41,2,FALSE)),IF(R9="2-",ROUNDUP(0.75*(VLOOKUP(K9,Tables!$E$3:$F$18,2,FALSE)+VLOOKUP(L9,Tables!$O$3:$P$10,2,FALSE)+VLOOKUP(M9,Tables!$R$3:$S$9,2,FALSE)+IF(N9="",0,VLOOKUP(N9,Tables!$B$3:$C$5,2,FALSE))+IF(P9="",0,VLOOKUP(P9,Tables!$L$3:$M$29,2,FALSE))+IF(Q9="",0,VLOOKUP(Q9,Tables!$B$33:$C$41,2,FALSE))),0),VLOOKUP(K9,Tables!$E$3:$F$18,2,FALSE)+VLOOKUP(L9,Tables!$O$3:$P$10,2,FALSE)+VLOOKUP(M9,Tables!$R$3:$S$9,2,FALSE)+IF(N9="",0,VLOOKUP(N9,Tables!$B$3:$C$5,2,FALSE))+IF(P9="",0,VLOOKUP(P9,Tables!$L$3:$M$29,2,FALSE))+IF(Q9="",0,VLOOKUP(Q9,Tables!$B$33:$C$41,2,FALSE))))),"")</f>
        <v/>
      </c>
      <c r="T9" s="118" t="str">
        <f t="shared" si="0"/>
        <v/>
      </c>
      <c r="U9" s="85"/>
    </row>
    <row r="10" spans="2:21" ht="15.6">
      <c r="B10" s="85"/>
      <c r="C10" s="65"/>
      <c r="D10" s="59"/>
      <c r="E10" s="60"/>
      <c r="F10" s="66"/>
      <c r="G10" s="51"/>
      <c r="H10" s="52"/>
      <c r="I10" s="144"/>
      <c r="J10" s="145"/>
      <c r="K10" s="27"/>
      <c r="L10" s="71"/>
      <c r="M10" s="71"/>
      <c r="N10" s="27"/>
      <c r="O10" s="27"/>
      <c r="P10" s="28"/>
      <c r="Q10" s="29"/>
      <c r="R10" s="29"/>
      <c r="S10" s="117" t="str">
        <f>IFERROR(IF(K10="FOR",5,IF(OR(K10="ART",P10="Bomb"),VLOOKUP(P10,Tables!$L$3:$M$29,2,FALSE)+IF(Q10="",0,VLOOKUP(Q10,Tables!$B$33:$C$41,2,FALSE)),IF(R10="2-",ROUNDUP(0.75*(VLOOKUP(K10,Tables!$E$3:$F$18,2,FALSE)+VLOOKUP(L10,Tables!$O$3:$P$10,2,FALSE)+VLOOKUP(M10,Tables!$R$3:$S$9,2,FALSE)+IF(N10="",0,VLOOKUP(N10,Tables!$B$3:$C$5,2,FALSE))+IF(P10="",0,VLOOKUP(P10,Tables!$L$3:$M$29,2,FALSE))+IF(Q10="",0,VLOOKUP(Q10,Tables!$B$33:$C$41,2,FALSE))),0),VLOOKUP(K10,Tables!$E$3:$F$18,2,FALSE)+VLOOKUP(L10,Tables!$O$3:$P$10,2,FALSE)+VLOOKUP(M10,Tables!$R$3:$S$9,2,FALSE)+IF(N10="",0,VLOOKUP(N10,Tables!$B$3:$C$5,2,FALSE))+IF(P10="",0,VLOOKUP(P10,Tables!$L$3:$M$29,2,FALSE))+IF(Q10="",0,VLOOKUP(Q10,Tables!$B$33:$C$41,2,FALSE))))),"")</f>
        <v/>
      </c>
      <c r="T10" s="118" t="str">
        <f t="shared" si="0"/>
        <v/>
      </c>
      <c r="U10" s="85"/>
    </row>
    <row r="11" spans="2:21" ht="15.6">
      <c r="B11" s="85"/>
      <c r="C11" s="65"/>
      <c r="D11" s="59"/>
      <c r="E11" s="60"/>
      <c r="F11" s="66"/>
      <c r="G11" s="51"/>
      <c r="H11" s="52"/>
      <c r="I11" s="144"/>
      <c r="J11" s="145"/>
      <c r="K11" s="27"/>
      <c r="L11" s="71"/>
      <c r="M11" s="71"/>
      <c r="N11" s="27"/>
      <c r="O11" s="27"/>
      <c r="P11" s="28"/>
      <c r="Q11" s="29"/>
      <c r="R11" s="29"/>
      <c r="S11" s="117" t="str">
        <f>IFERROR(IF(K11="FOR",5,IF(OR(K11="ART",P11="Bomb"),VLOOKUP(P11,Tables!$L$3:$M$29,2,FALSE)+IF(Q11="",0,VLOOKUP(Q11,Tables!$B$33:$C$41,2,FALSE)),IF(R11="2-",ROUNDUP(0.75*(VLOOKUP(K11,Tables!$E$3:$F$18,2,FALSE)+VLOOKUP(L11,Tables!$O$3:$P$10,2,FALSE)+VLOOKUP(M11,Tables!$R$3:$S$9,2,FALSE)+IF(N11="",0,VLOOKUP(N11,Tables!$B$3:$C$5,2,FALSE))+IF(P11="",0,VLOOKUP(P11,Tables!$L$3:$M$29,2,FALSE))+IF(Q11="",0,VLOOKUP(Q11,Tables!$B$33:$C$41,2,FALSE))),0),VLOOKUP(K11,Tables!$E$3:$F$18,2,FALSE)+VLOOKUP(L11,Tables!$O$3:$P$10,2,FALSE)+VLOOKUP(M11,Tables!$R$3:$S$9,2,FALSE)+IF(N11="",0,VLOOKUP(N11,Tables!$B$3:$C$5,2,FALSE))+IF(P11="",0,VLOOKUP(P11,Tables!$L$3:$M$29,2,FALSE))+IF(Q11="",0,VLOOKUP(Q11,Tables!$B$33:$C$41,2,FALSE))))),"")</f>
        <v/>
      </c>
      <c r="T11" s="118" t="str">
        <f t="shared" si="0"/>
        <v/>
      </c>
      <c r="U11" s="85"/>
    </row>
    <row r="12" spans="2:21" ht="15.6">
      <c r="B12" s="85"/>
      <c r="C12" s="65"/>
      <c r="D12" s="59"/>
      <c r="E12" s="60"/>
      <c r="F12" s="66"/>
      <c r="G12" s="51"/>
      <c r="H12" s="52"/>
      <c r="I12" s="144"/>
      <c r="J12" s="145"/>
      <c r="K12" s="27"/>
      <c r="L12" s="71"/>
      <c r="M12" s="71"/>
      <c r="N12" s="27"/>
      <c r="O12" s="27"/>
      <c r="P12" s="28"/>
      <c r="Q12" s="29"/>
      <c r="R12" s="29"/>
      <c r="S12" s="117" t="str">
        <f>IFERROR(IF(K12="FOR",5,IF(OR(K12="ART",P12="Bomb"),VLOOKUP(P12,Tables!$L$3:$M$29,2,FALSE)+IF(Q12="",0,VLOOKUP(Q12,Tables!$B$33:$C$41,2,FALSE)),IF(R12="2-",ROUNDUP(0.75*(VLOOKUP(K12,Tables!$E$3:$F$18,2,FALSE)+VLOOKUP(L12,Tables!$O$3:$P$10,2,FALSE)+VLOOKUP(M12,Tables!$R$3:$S$9,2,FALSE)+IF(N12="",0,VLOOKUP(N12,Tables!$B$3:$C$5,2,FALSE))+IF(P12="",0,VLOOKUP(P12,Tables!$L$3:$M$29,2,FALSE))+IF(Q12="",0,VLOOKUP(Q12,Tables!$B$33:$C$41,2,FALSE))),0),VLOOKUP(K12,Tables!$E$3:$F$18,2,FALSE)+VLOOKUP(L12,Tables!$O$3:$P$10,2,FALSE)+VLOOKUP(M12,Tables!$R$3:$S$9,2,FALSE)+IF(N12="",0,VLOOKUP(N12,Tables!$B$3:$C$5,2,FALSE))+IF(P12="",0,VLOOKUP(P12,Tables!$L$3:$M$29,2,FALSE))+IF(Q12="",0,VLOOKUP(Q12,Tables!$B$33:$C$41,2,FALSE))))),"")</f>
        <v/>
      </c>
      <c r="T12" s="118" t="str">
        <f t="shared" si="0"/>
        <v/>
      </c>
      <c r="U12" s="85"/>
    </row>
    <row r="13" spans="2:21" ht="15.6">
      <c r="B13" s="85"/>
      <c r="C13" s="65"/>
      <c r="D13" s="59"/>
      <c r="E13" s="60"/>
      <c r="F13" s="66"/>
      <c r="G13" s="51"/>
      <c r="H13" s="52"/>
      <c r="I13" s="144"/>
      <c r="J13" s="145"/>
      <c r="K13" s="27"/>
      <c r="L13" s="71"/>
      <c r="M13" s="71"/>
      <c r="N13" s="27"/>
      <c r="O13" s="27"/>
      <c r="P13" s="28"/>
      <c r="Q13" s="29"/>
      <c r="R13" s="29"/>
      <c r="S13" s="117" t="str">
        <f>IFERROR(IF(K13="FOR",5,IF(OR(K13="ART",P13="Bomb"),VLOOKUP(P13,Tables!$L$3:$M$29,2,FALSE)+IF(Q13="",0,VLOOKUP(Q13,Tables!$B$33:$C$41,2,FALSE)),IF(R13="2-",ROUNDUP(0.75*(VLOOKUP(K13,Tables!$E$3:$F$18,2,FALSE)+VLOOKUP(L13,Tables!$O$3:$P$10,2,FALSE)+VLOOKUP(M13,Tables!$R$3:$S$9,2,FALSE)+IF(N13="",0,VLOOKUP(N13,Tables!$B$3:$C$5,2,FALSE))+IF(P13="",0,VLOOKUP(P13,Tables!$L$3:$M$29,2,FALSE))+IF(Q13="",0,VLOOKUP(Q13,Tables!$B$33:$C$41,2,FALSE))),0),VLOOKUP(K13,Tables!$E$3:$F$18,2,FALSE)+VLOOKUP(L13,Tables!$O$3:$P$10,2,FALSE)+VLOOKUP(M13,Tables!$R$3:$S$9,2,FALSE)+IF(N13="",0,VLOOKUP(N13,Tables!$B$3:$C$5,2,FALSE))+IF(P13="",0,VLOOKUP(P13,Tables!$L$3:$M$29,2,FALSE))+IF(Q13="",0,VLOOKUP(Q13,Tables!$B$33:$C$41,2,FALSE))))),"")</f>
        <v/>
      </c>
      <c r="T13" s="118" t="str">
        <f t="shared" si="0"/>
        <v/>
      </c>
      <c r="U13" s="85"/>
    </row>
    <row r="14" spans="2:21" ht="15.6">
      <c r="B14" s="85"/>
      <c r="C14" s="65"/>
      <c r="D14" s="59"/>
      <c r="E14" s="60"/>
      <c r="F14" s="66"/>
      <c r="G14" s="51"/>
      <c r="H14" s="52"/>
      <c r="I14" s="144"/>
      <c r="J14" s="145"/>
      <c r="K14" s="27"/>
      <c r="L14" s="71"/>
      <c r="M14" s="71"/>
      <c r="N14" s="27"/>
      <c r="O14" s="27"/>
      <c r="P14" s="28"/>
      <c r="Q14" s="29"/>
      <c r="R14" s="29"/>
      <c r="S14" s="117" t="str">
        <f>IFERROR(IF(K14="FOR",5,IF(OR(K14="ART",P14="Bomb"),VLOOKUP(P14,Tables!$L$3:$M$29,2,FALSE)+IF(Q14="",0,VLOOKUP(Q14,Tables!$B$33:$C$41,2,FALSE)),IF(R14="2-",ROUNDUP(0.75*(VLOOKUP(K14,Tables!$E$3:$F$18,2,FALSE)+VLOOKUP(L14,Tables!$O$3:$P$10,2,FALSE)+VLOOKUP(M14,Tables!$R$3:$S$9,2,FALSE)+IF(N14="",0,VLOOKUP(N14,Tables!$B$3:$C$5,2,FALSE))+IF(P14="",0,VLOOKUP(P14,Tables!$L$3:$M$29,2,FALSE))+IF(Q14="",0,VLOOKUP(Q14,Tables!$B$33:$C$41,2,FALSE))),0),VLOOKUP(K14,Tables!$E$3:$F$18,2,FALSE)+VLOOKUP(L14,Tables!$O$3:$P$10,2,FALSE)+VLOOKUP(M14,Tables!$R$3:$S$9,2,FALSE)+IF(N14="",0,VLOOKUP(N14,Tables!$B$3:$C$5,2,FALSE))+IF(P14="",0,VLOOKUP(P14,Tables!$L$3:$M$29,2,FALSE))+IF(Q14="",0,VLOOKUP(Q14,Tables!$B$33:$C$41,2,FALSE))))),"")</f>
        <v/>
      </c>
      <c r="T14" s="118" t="str">
        <f t="shared" si="0"/>
        <v/>
      </c>
      <c r="U14" s="85"/>
    </row>
    <row r="15" spans="2:21" ht="15.6">
      <c r="B15" s="85"/>
      <c r="C15" s="65"/>
      <c r="D15" s="59"/>
      <c r="E15" s="60"/>
      <c r="F15" s="66"/>
      <c r="G15" s="51"/>
      <c r="H15" s="52"/>
      <c r="I15" s="144"/>
      <c r="J15" s="145"/>
      <c r="K15" s="27"/>
      <c r="L15" s="71"/>
      <c r="M15" s="71"/>
      <c r="N15" s="27"/>
      <c r="O15" s="27"/>
      <c r="P15" s="28"/>
      <c r="Q15" s="29"/>
      <c r="R15" s="29"/>
      <c r="S15" s="117" t="str">
        <f>IFERROR(IF(K15="FOR",5,IF(OR(K15="ART",P15="Bomb"),VLOOKUP(P15,Tables!$L$3:$M$29,2,FALSE)+IF(Q15="",0,VLOOKUP(Q15,Tables!$B$33:$C$41,2,FALSE)),IF(R15="2-",ROUNDUP(0.75*(VLOOKUP(K15,Tables!$E$3:$F$18,2,FALSE)+VLOOKUP(L15,Tables!$O$3:$P$10,2,FALSE)+VLOOKUP(M15,Tables!$R$3:$S$9,2,FALSE)+IF(N15="",0,VLOOKUP(N15,Tables!$B$3:$C$5,2,FALSE))+IF(P15="",0,VLOOKUP(P15,Tables!$L$3:$M$29,2,FALSE))+IF(Q15="",0,VLOOKUP(Q15,Tables!$B$33:$C$41,2,FALSE))),0),VLOOKUP(K15,Tables!$E$3:$F$18,2,FALSE)+VLOOKUP(L15,Tables!$O$3:$P$10,2,FALSE)+VLOOKUP(M15,Tables!$R$3:$S$9,2,FALSE)+IF(N15="",0,VLOOKUP(N15,Tables!$B$3:$C$5,2,FALSE))+IF(P15="",0,VLOOKUP(P15,Tables!$L$3:$M$29,2,FALSE))+IF(Q15="",0,VLOOKUP(Q15,Tables!$B$33:$C$41,2,FALSE))))),"")</f>
        <v/>
      </c>
      <c r="T15" s="118" t="str">
        <f t="shared" si="0"/>
        <v/>
      </c>
      <c r="U15" s="85"/>
    </row>
    <row r="16" spans="2:21" ht="15.6">
      <c r="B16" s="85"/>
      <c r="C16" s="65"/>
      <c r="D16" s="59"/>
      <c r="E16" s="60"/>
      <c r="F16" s="66"/>
      <c r="G16" s="51"/>
      <c r="H16" s="52"/>
      <c r="I16" s="144"/>
      <c r="J16" s="145"/>
      <c r="K16" s="27"/>
      <c r="L16" s="71"/>
      <c r="M16" s="71"/>
      <c r="N16" s="27"/>
      <c r="O16" s="27"/>
      <c r="P16" s="28"/>
      <c r="Q16" s="29"/>
      <c r="R16" s="29"/>
      <c r="S16" s="117" t="str">
        <f>IFERROR(IF(K16="FOR",5,IF(OR(K16="ART",P16="Bomb"),VLOOKUP(P16,Tables!$L$3:$M$29,2,FALSE)+IF(Q16="",0,VLOOKUP(Q16,Tables!$B$33:$C$41,2,FALSE)),IF(R16="2-",ROUNDUP(0.75*(VLOOKUP(K16,Tables!$E$3:$F$18,2,FALSE)+VLOOKUP(L16,Tables!$O$3:$P$10,2,FALSE)+VLOOKUP(M16,Tables!$R$3:$S$9,2,FALSE)+IF(N16="",0,VLOOKUP(N16,Tables!$B$3:$C$5,2,FALSE))+IF(P16="",0,VLOOKUP(P16,Tables!$L$3:$M$29,2,FALSE))+IF(Q16="",0,VLOOKUP(Q16,Tables!$B$33:$C$41,2,FALSE))),0),VLOOKUP(K16,Tables!$E$3:$F$18,2,FALSE)+VLOOKUP(L16,Tables!$O$3:$P$10,2,FALSE)+VLOOKUP(M16,Tables!$R$3:$S$9,2,FALSE)+IF(N16="",0,VLOOKUP(N16,Tables!$B$3:$C$5,2,FALSE))+IF(P16="",0,VLOOKUP(P16,Tables!$L$3:$M$29,2,FALSE))+IF(Q16="",0,VLOOKUP(Q16,Tables!$B$33:$C$41,2,FALSE))))),"")</f>
        <v/>
      </c>
      <c r="T16" s="118" t="str">
        <f t="shared" si="0"/>
        <v/>
      </c>
      <c r="U16" s="85"/>
    </row>
    <row r="17" spans="2:21" ht="15.6">
      <c r="B17" s="85"/>
      <c r="C17" s="65"/>
      <c r="D17" s="59"/>
      <c r="E17" s="60"/>
      <c r="F17" s="66"/>
      <c r="G17" s="51"/>
      <c r="H17" s="52"/>
      <c r="I17" s="144"/>
      <c r="J17" s="145"/>
      <c r="K17" s="27"/>
      <c r="L17" s="71"/>
      <c r="M17" s="71"/>
      <c r="N17" s="27"/>
      <c r="O17" s="27"/>
      <c r="P17" s="28"/>
      <c r="Q17" s="29"/>
      <c r="R17" s="29"/>
      <c r="S17" s="117" t="str">
        <f>IFERROR(IF(K17="FOR",5,IF(OR(K17="ART",P17="Bomb"),VLOOKUP(P17,Tables!$L$3:$M$29,2,FALSE)+IF(Q17="",0,VLOOKUP(Q17,Tables!$B$33:$C$41,2,FALSE)),IF(R17="2-",ROUNDUP(0.75*(VLOOKUP(K17,Tables!$E$3:$F$18,2,FALSE)+VLOOKUP(L17,Tables!$O$3:$P$10,2,FALSE)+VLOOKUP(M17,Tables!$R$3:$S$9,2,FALSE)+IF(N17="",0,VLOOKUP(N17,Tables!$B$3:$C$5,2,FALSE))+IF(P17="",0,VLOOKUP(P17,Tables!$L$3:$M$29,2,FALSE))+IF(Q17="",0,VLOOKUP(Q17,Tables!$B$33:$C$41,2,FALSE))),0),VLOOKUP(K17,Tables!$E$3:$F$18,2,FALSE)+VLOOKUP(L17,Tables!$O$3:$P$10,2,FALSE)+VLOOKUP(M17,Tables!$R$3:$S$9,2,FALSE)+IF(N17="",0,VLOOKUP(N17,Tables!$B$3:$C$5,2,FALSE))+IF(P17="",0,VLOOKUP(P17,Tables!$L$3:$M$29,2,FALSE))+IF(Q17="",0,VLOOKUP(Q17,Tables!$B$33:$C$41,2,FALSE))))),"")</f>
        <v/>
      </c>
      <c r="T17" s="118" t="str">
        <f t="shared" si="0"/>
        <v/>
      </c>
      <c r="U17" s="85"/>
    </row>
    <row r="18" spans="2:21" ht="15.6">
      <c r="B18" s="85"/>
      <c r="C18" s="65"/>
      <c r="D18" s="59"/>
      <c r="E18" s="60"/>
      <c r="F18" s="66"/>
      <c r="G18" s="51"/>
      <c r="H18" s="52"/>
      <c r="I18" s="144"/>
      <c r="J18" s="145"/>
      <c r="K18" s="27"/>
      <c r="L18" s="71"/>
      <c r="M18" s="71"/>
      <c r="N18" s="27"/>
      <c r="O18" s="27"/>
      <c r="P18" s="28"/>
      <c r="Q18" s="29"/>
      <c r="R18" s="29"/>
      <c r="S18" s="117" t="str">
        <f>IFERROR(IF(K18="FOR",5,IF(OR(K18="ART",P18="Bomb"),VLOOKUP(P18,Tables!$L$3:$M$29,2,FALSE)+IF(Q18="",0,VLOOKUP(Q18,Tables!$B$33:$C$41,2,FALSE)),IF(R18="2-",ROUNDUP(0.75*(VLOOKUP(K18,Tables!$E$3:$F$18,2,FALSE)+VLOOKUP(L18,Tables!$O$3:$P$10,2,FALSE)+VLOOKUP(M18,Tables!$R$3:$S$9,2,FALSE)+IF(N18="",0,VLOOKUP(N18,Tables!$B$3:$C$5,2,FALSE))+IF(P18="",0,VLOOKUP(P18,Tables!$L$3:$M$29,2,FALSE))+IF(Q18="",0,VLOOKUP(Q18,Tables!$B$33:$C$41,2,FALSE))),0),VLOOKUP(K18,Tables!$E$3:$F$18,2,FALSE)+VLOOKUP(L18,Tables!$O$3:$P$10,2,FALSE)+VLOOKUP(M18,Tables!$R$3:$S$9,2,FALSE)+IF(N18="",0,VLOOKUP(N18,Tables!$B$3:$C$5,2,FALSE))+IF(P18="",0,VLOOKUP(P18,Tables!$L$3:$M$29,2,FALSE))+IF(Q18="",0,VLOOKUP(Q18,Tables!$B$33:$C$41,2,FALSE))))),"")</f>
        <v/>
      </c>
      <c r="T18" s="118" t="str">
        <f t="shared" si="0"/>
        <v/>
      </c>
      <c r="U18" s="85"/>
    </row>
    <row r="19" spans="2:21" ht="15.6">
      <c r="B19" s="85"/>
      <c r="C19" s="65"/>
      <c r="D19" s="59"/>
      <c r="E19" s="60"/>
      <c r="F19" s="66"/>
      <c r="G19" s="51"/>
      <c r="H19" s="52"/>
      <c r="I19" s="144"/>
      <c r="J19" s="145"/>
      <c r="K19" s="27"/>
      <c r="L19" s="71"/>
      <c r="M19" s="71"/>
      <c r="N19" s="27"/>
      <c r="O19" s="27"/>
      <c r="P19" s="28"/>
      <c r="Q19" s="29"/>
      <c r="R19" s="29"/>
      <c r="S19" s="117" t="str">
        <f>IFERROR(IF(K19="FOR",5,IF(OR(K19="ART",P19="Bomb"),VLOOKUP(P19,Tables!$L$3:$M$29,2,FALSE)+IF(Q19="",0,VLOOKUP(Q19,Tables!$B$33:$C$41,2,FALSE)),IF(R19="2-",ROUNDUP(0.75*(VLOOKUP(K19,Tables!$E$3:$F$18,2,FALSE)+VLOOKUP(L19,Tables!$O$3:$P$10,2,FALSE)+VLOOKUP(M19,Tables!$R$3:$S$9,2,FALSE)+IF(N19="",0,VLOOKUP(N19,Tables!$B$3:$C$5,2,FALSE))+IF(P19="",0,VLOOKUP(P19,Tables!$L$3:$M$29,2,FALSE))+IF(Q19="",0,VLOOKUP(Q19,Tables!$B$33:$C$41,2,FALSE))),0),VLOOKUP(K19,Tables!$E$3:$F$18,2,FALSE)+VLOOKUP(L19,Tables!$O$3:$P$10,2,FALSE)+VLOOKUP(M19,Tables!$R$3:$S$9,2,FALSE)+IF(N19="",0,VLOOKUP(N19,Tables!$B$3:$C$5,2,FALSE))+IF(P19="",0,VLOOKUP(P19,Tables!$L$3:$M$29,2,FALSE))+IF(Q19="",0,VLOOKUP(Q19,Tables!$B$33:$C$41,2,FALSE))))),"")</f>
        <v/>
      </c>
      <c r="T19" s="118" t="str">
        <f t="shared" si="0"/>
        <v/>
      </c>
      <c r="U19" s="85"/>
    </row>
    <row r="20" spans="2:21" ht="15.6">
      <c r="B20" s="85"/>
      <c r="C20" s="65"/>
      <c r="D20" s="59"/>
      <c r="E20" s="60"/>
      <c r="F20" s="66"/>
      <c r="G20" s="51"/>
      <c r="H20" s="52"/>
      <c r="I20" s="144"/>
      <c r="J20" s="145"/>
      <c r="K20" s="27"/>
      <c r="L20" s="71"/>
      <c r="M20" s="71"/>
      <c r="N20" s="27"/>
      <c r="O20" s="27"/>
      <c r="P20" s="28"/>
      <c r="Q20" s="29"/>
      <c r="R20" s="29"/>
      <c r="S20" s="117" t="str">
        <f>IFERROR(IF(K20="FOR",5,IF(OR(K20="ART",P20="Bomb"),VLOOKUP(P20,Tables!$L$3:$M$29,2,FALSE)+IF(Q20="",0,VLOOKUP(Q20,Tables!$B$33:$C$41,2,FALSE)),IF(R20="2-",ROUNDUP(0.75*(VLOOKUP(K20,Tables!$E$3:$F$18,2,FALSE)+VLOOKUP(L20,Tables!$O$3:$P$10,2,FALSE)+VLOOKUP(M20,Tables!$R$3:$S$9,2,FALSE)+IF(N20="",0,VLOOKUP(N20,Tables!$B$3:$C$5,2,FALSE))+IF(P20="",0,VLOOKUP(P20,Tables!$L$3:$M$29,2,FALSE))+IF(Q20="",0,VLOOKUP(Q20,Tables!$B$33:$C$41,2,FALSE))),0),VLOOKUP(K20,Tables!$E$3:$F$18,2,FALSE)+VLOOKUP(L20,Tables!$O$3:$P$10,2,FALSE)+VLOOKUP(M20,Tables!$R$3:$S$9,2,FALSE)+IF(N20="",0,VLOOKUP(N20,Tables!$B$3:$C$5,2,FALSE))+IF(P20="",0,VLOOKUP(P20,Tables!$L$3:$M$29,2,FALSE))+IF(Q20="",0,VLOOKUP(Q20,Tables!$B$33:$C$41,2,FALSE))))),"")</f>
        <v/>
      </c>
      <c r="T20" s="118" t="str">
        <f t="shared" si="0"/>
        <v/>
      </c>
      <c r="U20" s="85"/>
    </row>
    <row r="21" spans="2:21" ht="15.6">
      <c r="B21" s="85"/>
      <c r="C21" s="65"/>
      <c r="D21" s="59"/>
      <c r="E21" s="60"/>
      <c r="F21" s="66"/>
      <c r="G21" s="51"/>
      <c r="H21" s="52"/>
      <c r="I21" s="144"/>
      <c r="J21" s="145"/>
      <c r="K21" s="27"/>
      <c r="L21" s="71"/>
      <c r="M21" s="71"/>
      <c r="N21" s="27"/>
      <c r="O21" s="27"/>
      <c r="P21" s="28"/>
      <c r="Q21" s="29"/>
      <c r="R21" s="29"/>
      <c r="S21" s="117" t="str">
        <f>IFERROR(IF(K21="FOR",5,IF(OR(K21="ART",P21="Bomb"),VLOOKUP(P21,Tables!$L$3:$M$29,2,FALSE)+IF(Q21="",0,VLOOKUP(Q21,Tables!$B$33:$C$41,2,FALSE)),IF(R21="2-",ROUNDUP(0.75*(VLOOKUP(K21,Tables!$E$3:$F$18,2,FALSE)+VLOOKUP(L21,Tables!$O$3:$P$10,2,FALSE)+VLOOKUP(M21,Tables!$R$3:$S$9,2,FALSE)+IF(N21="",0,VLOOKUP(N21,Tables!$B$3:$C$5,2,FALSE))+IF(P21="",0,VLOOKUP(P21,Tables!$L$3:$M$29,2,FALSE))+IF(Q21="",0,VLOOKUP(Q21,Tables!$B$33:$C$41,2,FALSE))),0),VLOOKUP(K21,Tables!$E$3:$F$18,2,FALSE)+VLOOKUP(L21,Tables!$O$3:$P$10,2,FALSE)+VLOOKUP(M21,Tables!$R$3:$S$9,2,FALSE)+IF(N21="",0,VLOOKUP(N21,Tables!$B$3:$C$5,2,FALSE))+IF(P21="",0,VLOOKUP(P21,Tables!$L$3:$M$29,2,FALSE))+IF(Q21="",0,VLOOKUP(Q21,Tables!$B$33:$C$41,2,FALSE))))),"")</f>
        <v/>
      </c>
      <c r="T21" s="118" t="str">
        <f t="shared" si="0"/>
        <v/>
      </c>
      <c r="U21" s="85"/>
    </row>
    <row r="22" spans="2:21" ht="15.6">
      <c r="B22" s="85"/>
      <c r="C22" s="65"/>
      <c r="D22" s="59"/>
      <c r="E22" s="60"/>
      <c r="F22" s="66"/>
      <c r="G22" s="51"/>
      <c r="H22" s="52"/>
      <c r="I22" s="144"/>
      <c r="J22" s="145"/>
      <c r="K22" s="27"/>
      <c r="L22" s="71"/>
      <c r="M22" s="71"/>
      <c r="N22" s="27"/>
      <c r="O22" s="27"/>
      <c r="P22" s="28"/>
      <c r="Q22" s="29"/>
      <c r="R22" s="29"/>
      <c r="S22" s="117" t="str">
        <f>IFERROR(IF(K22="FOR",5,IF(OR(K22="ART",P22="Bomb"),VLOOKUP(P22,Tables!$L$3:$M$29,2,FALSE)+IF(Q22="",0,VLOOKUP(Q22,Tables!$B$33:$C$41,2,FALSE)),IF(R22="2-",ROUNDUP(0.75*(VLOOKUP(K22,Tables!$E$3:$F$18,2,FALSE)+VLOOKUP(L22,Tables!$O$3:$P$10,2,FALSE)+VLOOKUP(M22,Tables!$R$3:$S$9,2,FALSE)+IF(N22="",0,VLOOKUP(N22,Tables!$B$3:$C$5,2,FALSE))+IF(P22="",0,VLOOKUP(P22,Tables!$L$3:$M$29,2,FALSE))+IF(Q22="",0,VLOOKUP(Q22,Tables!$B$33:$C$41,2,FALSE))),0),VLOOKUP(K22,Tables!$E$3:$F$18,2,FALSE)+VLOOKUP(L22,Tables!$O$3:$P$10,2,FALSE)+VLOOKUP(M22,Tables!$R$3:$S$9,2,FALSE)+IF(N22="",0,VLOOKUP(N22,Tables!$B$3:$C$5,2,FALSE))+IF(P22="",0,VLOOKUP(P22,Tables!$L$3:$M$29,2,FALSE))+IF(Q22="",0,VLOOKUP(Q22,Tables!$B$33:$C$41,2,FALSE))))),"")</f>
        <v/>
      </c>
      <c r="T22" s="118" t="str">
        <f t="shared" si="0"/>
        <v/>
      </c>
      <c r="U22" s="85"/>
    </row>
    <row r="23" spans="2:21" ht="15.6">
      <c r="B23" s="85"/>
      <c r="C23" s="65"/>
      <c r="D23" s="59"/>
      <c r="E23" s="60"/>
      <c r="F23" s="66"/>
      <c r="G23" s="51"/>
      <c r="H23" s="52"/>
      <c r="I23" s="144"/>
      <c r="J23" s="145"/>
      <c r="K23" s="27"/>
      <c r="L23" s="71"/>
      <c r="M23" s="71"/>
      <c r="N23" s="27"/>
      <c r="O23" s="27"/>
      <c r="P23" s="28"/>
      <c r="Q23" s="29"/>
      <c r="R23" s="29"/>
      <c r="S23" s="117" t="str">
        <f>IFERROR(IF(K23="FOR",5,IF(OR(K23="ART",P23="Bomb"),VLOOKUP(P23,Tables!$L$3:$M$29,2,FALSE)+IF(Q23="",0,VLOOKUP(Q23,Tables!$B$33:$C$41,2,FALSE)),IF(R23="2-",ROUNDUP(0.75*(VLOOKUP(K23,Tables!$E$3:$F$18,2,FALSE)+VLOOKUP(L23,Tables!$O$3:$P$10,2,FALSE)+VLOOKUP(M23,Tables!$R$3:$S$9,2,FALSE)+IF(N23="",0,VLOOKUP(N23,Tables!$B$3:$C$5,2,FALSE))+IF(P23="",0,VLOOKUP(P23,Tables!$L$3:$M$29,2,FALSE))+IF(Q23="",0,VLOOKUP(Q23,Tables!$B$33:$C$41,2,FALSE))),0),VLOOKUP(K23,Tables!$E$3:$F$18,2,FALSE)+VLOOKUP(L23,Tables!$O$3:$P$10,2,FALSE)+VLOOKUP(M23,Tables!$R$3:$S$9,2,FALSE)+IF(N23="",0,VLOOKUP(N23,Tables!$B$3:$C$5,2,FALSE))+IF(P23="",0,VLOOKUP(P23,Tables!$L$3:$M$29,2,FALSE))+IF(Q23="",0,VLOOKUP(Q23,Tables!$B$33:$C$41,2,FALSE))))),"")</f>
        <v/>
      </c>
      <c r="T23" s="118" t="str">
        <f t="shared" si="0"/>
        <v/>
      </c>
      <c r="U23" s="85"/>
    </row>
    <row r="24" spans="2:21" ht="15.6">
      <c r="B24" s="85"/>
      <c r="C24" s="65"/>
      <c r="D24" s="59"/>
      <c r="E24" s="60"/>
      <c r="F24" s="66"/>
      <c r="G24" s="51"/>
      <c r="H24" s="52"/>
      <c r="I24" s="144"/>
      <c r="J24" s="145"/>
      <c r="K24" s="27"/>
      <c r="L24" s="71"/>
      <c r="M24" s="71"/>
      <c r="N24" s="27"/>
      <c r="O24" s="27"/>
      <c r="P24" s="28"/>
      <c r="Q24" s="29"/>
      <c r="R24" s="29"/>
      <c r="S24" s="117" t="str">
        <f>IFERROR(IF(K24="FOR",5,IF(OR(K24="ART",P24="Bomb"),VLOOKUP(P24,Tables!$L$3:$M$29,2,FALSE)+IF(Q24="",0,VLOOKUP(Q24,Tables!$B$33:$C$41,2,FALSE)),IF(R24="2-",ROUNDUP(0.75*(VLOOKUP(K24,Tables!$E$3:$F$18,2,FALSE)+VLOOKUP(L24,Tables!$O$3:$P$10,2,FALSE)+VLOOKUP(M24,Tables!$R$3:$S$9,2,FALSE)+IF(N24="",0,VLOOKUP(N24,Tables!$B$3:$C$5,2,FALSE))+IF(P24="",0,VLOOKUP(P24,Tables!$L$3:$M$29,2,FALSE))+IF(Q24="",0,VLOOKUP(Q24,Tables!$B$33:$C$41,2,FALSE))),0),VLOOKUP(K24,Tables!$E$3:$F$18,2,FALSE)+VLOOKUP(L24,Tables!$O$3:$P$10,2,FALSE)+VLOOKUP(M24,Tables!$R$3:$S$9,2,FALSE)+IF(N24="",0,VLOOKUP(N24,Tables!$B$3:$C$5,2,FALSE))+IF(P24="",0,VLOOKUP(P24,Tables!$L$3:$M$29,2,FALSE))+IF(Q24="",0,VLOOKUP(Q24,Tables!$B$33:$C$41,2,FALSE))))),"")</f>
        <v/>
      </c>
      <c r="T24" s="118" t="str">
        <f t="shared" si="0"/>
        <v/>
      </c>
      <c r="U24" s="85"/>
    </row>
    <row r="25" spans="2:21" ht="15.6">
      <c r="B25" s="85"/>
      <c r="C25" s="65"/>
      <c r="D25" s="59"/>
      <c r="E25" s="60"/>
      <c r="F25" s="66"/>
      <c r="G25" s="51"/>
      <c r="H25" s="52"/>
      <c r="I25" s="144"/>
      <c r="J25" s="145"/>
      <c r="K25" s="27"/>
      <c r="L25" s="71"/>
      <c r="M25" s="71"/>
      <c r="N25" s="27"/>
      <c r="O25" s="27"/>
      <c r="P25" s="28"/>
      <c r="Q25" s="29"/>
      <c r="R25" s="29"/>
      <c r="S25" s="117" t="str">
        <f>IFERROR(IF(K25="FOR",5,IF(OR(K25="ART",P25="Bomb"),VLOOKUP(P25,Tables!$L$3:$M$29,2,FALSE)+IF(Q25="",0,VLOOKUP(Q25,Tables!$B$33:$C$41,2,FALSE)),IF(R25="2-",ROUNDUP(0.75*(VLOOKUP(K25,Tables!$E$3:$F$18,2,FALSE)+VLOOKUP(L25,Tables!$O$3:$P$10,2,FALSE)+VLOOKUP(M25,Tables!$R$3:$S$9,2,FALSE)+IF(N25="",0,VLOOKUP(N25,Tables!$B$3:$C$5,2,FALSE))+IF(P25="",0,VLOOKUP(P25,Tables!$L$3:$M$29,2,FALSE))+IF(Q25="",0,VLOOKUP(Q25,Tables!$B$33:$C$41,2,FALSE))),0),VLOOKUP(K25,Tables!$E$3:$F$18,2,FALSE)+VLOOKUP(L25,Tables!$O$3:$P$10,2,FALSE)+VLOOKUP(M25,Tables!$R$3:$S$9,2,FALSE)+IF(N25="",0,VLOOKUP(N25,Tables!$B$3:$C$5,2,FALSE))+IF(P25="",0,VLOOKUP(P25,Tables!$L$3:$M$29,2,FALSE))+IF(Q25="",0,VLOOKUP(Q25,Tables!$B$33:$C$41,2,FALSE))))),"")</f>
        <v/>
      </c>
      <c r="T25" s="118" t="str">
        <f t="shared" si="0"/>
        <v/>
      </c>
      <c r="U25" s="85"/>
    </row>
    <row r="26" spans="2:21" ht="15.6">
      <c r="B26" s="85"/>
      <c r="C26" s="65"/>
      <c r="D26" s="59"/>
      <c r="E26" s="60"/>
      <c r="F26" s="66"/>
      <c r="G26" s="51"/>
      <c r="H26" s="52"/>
      <c r="I26" s="144"/>
      <c r="J26" s="145"/>
      <c r="K26" s="27"/>
      <c r="L26" s="71"/>
      <c r="M26" s="71"/>
      <c r="N26" s="27"/>
      <c r="O26" s="27"/>
      <c r="P26" s="28"/>
      <c r="Q26" s="29"/>
      <c r="R26" s="29"/>
      <c r="S26" s="117" t="str">
        <f>IFERROR(IF(K26="FOR",5,IF(OR(K26="ART",P26="Bomb"),VLOOKUP(P26,Tables!$L$3:$M$29,2,FALSE)+IF(Q26="",0,VLOOKUP(Q26,Tables!$B$33:$C$41,2,FALSE)),IF(R26="2-",ROUNDUP(0.75*(VLOOKUP(K26,Tables!$E$3:$F$18,2,FALSE)+VLOOKUP(L26,Tables!$O$3:$P$10,2,FALSE)+VLOOKUP(M26,Tables!$R$3:$S$9,2,FALSE)+IF(N26="",0,VLOOKUP(N26,Tables!$B$3:$C$5,2,FALSE))+IF(P26="",0,VLOOKUP(P26,Tables!$L$3:$M$29,2,FALSE))+IF(Q26="",0,VLOOKUP(Q26,Tables!$B$33:$C$41,2,FALSE))),0),VLOOKUP(K26,Tables!$E$3:$F$18,2,FALSE)+VLOOKUP(L26,Tables!$O$3:$P$10,2,FALSE)+VLOOKUP(M26,Tables!$R$3:$S$9,2,FALSE)+IF(N26="",0,VLOOKUP(N26,Tables!$B$3:$C$5,2,FALSE))+IF(P26="",0,VLOOKUP(P26,Tables!$L$3:$M$29,2,FALSE))+IF(Q26="",0,VLOOKUP(Q26,Tables!$B$33:$C$41,2,FALSE))))),"")</f>
        <v/>
      </c>
      <c r="T26" s="118" t="str">
        <f t="shared" si="0"/>
        <v/>
      </c>
      <c r="U26" s="85"/>
    </row>
    <row r="27" spans="2:21" ht="15.6">
      <c r="B27" s="85"/>
      <c r="C27" s="65"/>
      <c r="D27" s="59"/>
      <c r="E27" s="60"/>
      <c r="F27" s="66"/>
      <c r="G27" s="51"/>
      <c r="H27" s="52"/>
      <c r="I27" s="144"/>
      <c r="J27" s="145"/>
      <c r="K27" s="27"/>
      <c r="L27" s="71"/>
      <c r="M27" s="71"/>
      <c r="N27" s="27"/>
      <c r="O27" s="27"/>
      <c r="P27" s="28"/>
      <c r="Q27" s="29"/>
      <c r="R27" s="29"/>
      <c r="S27" s="117" t="str">
        <f>IFERROR(IF(K27="FOR",5,IF(OR(K27="ART",P27="Bomb"),VLOOKUP(P27,Tables!$L$3:$M$29,2,FALSE)+IF(Q27="",0,VLOOKUP(Q27,Tables!$B$33:$C$41,2,FALSE)),IF(R27="2-",ROUNDUP(0.75*(VLOOKUP(K27,Tables!$E$3:$F$18,2,FALSE)+VLOOKUP(L27,Tables!$O$3:$P$10,2,FALSE)+VLOOKUP(M27,Tables!$R$3:$S$9,2,FALSE)+IF(N27="",0,VLOOKUP(N27,Tables!$B$3:$C$5,2,FALSE))+IF(P27="",0,VLOOKUP(P27,Tables!$L$3:$M$29,2,FALSE))+IF(Q27="",0,VLOOKUP(Q27,Tables!$B$33:$C$41,2,FALSE))),0),VLOOKUP(K27,Tables!$E$3:$F$18,2,FALSE)+VLOOKUP(L27,Tables!$O$3:$P$10,2,FALSE)+VLOOKUP(M27,Tables!$R$3:$S$9,2,FALSE)+IF(N27="",0,VLOOKUP(N27,Tables!$B$3:$C$5,2,FALSE))+IF(P27="",0,VLOOKUP(P27,Tables!$L$3:$M$29,2,FALSE))+IF(Q27="",0,VLOOKUP(Q27,Tables!$B$33:$C$41,2,FALSE))))),"")</f>
        <v/>
      </c>
      <c r="T27" s="118" t="str">
        <f t="shared" si="0"/>
        <v/>
      </c>
      <c r="U27" s="85"/>
    </row>
    <row r="28" spans="2:21" ht="15.6">
      <c r="B28" s="85"/>
      <c r="C28" s="65"/>
      <c r="D28" s="59"/>
      <c r="E28" s="60"/>
      <c r="F28" s="66"/>
      <c r="G28" s="51"/>
      <c r="H28" s="52"/>
      <c r="I28" s="144"/>
      <c r="J28" s="145"/>
      <c r="K28" s="27"/>
      <c r="L28" s="71"/>
      <c r="M28" s="71"/>
      <c r="N28" s="27"/>
      <c r="O28" s="27"/>
      <c r="P28" s="28"/>
      <c r="Q28" s="29"/>
      <c r="R28" s="29"/>
      <c r="S28" s="117" t="str">
        <f>IFERROR(IF(K28="FOR",5,IF(OR(K28="ART",P28="Bomb"),VLOOKUP(P28,Tables!$L$3:$M$29,2,FALSE)+IF(Q28="",0,VLOOKUP(Q28,Tables!$B$33:$C$41,2,FALSE)),IF(R28="2-",ROUNDUP(0.75*(VLOOKUP(K28,Tables!$E$3:$F$18,2,FALSE)+VLOOKUP(L28,Tables!$O$3:$P$10,2,FALSE)+VLOOKUP(M28,Tables!$R$3:$S$9,2,FALSE)+IF(N28="",0,VLOOKUP(N28,Tables!$B$3:$C$5,2,FALSE))+IF(P28="",0,VLOOKUP(P28,Tables!$L$3:$M$29,2,FALSE))+IF(Q28="",0,VLOOKUP(Q28,Tables!$B$33:$C$41,2,FALSE))),0),VLOOKUP(K28,Tables!$E$3:$F$18,2,FALSE)+VLOOKUP(L28,Tables!$O$3:$P$10,2,FALSE)+VLOOKUP(M28,Tables!$R$3:$S$9,2,FALSE)+IF(N28="",0,VLOOKUP(N28,Tables!$B$3:$C$5,2,FALSE))+IF(P28="",0,VLOOKUP(P28,Tables!$L$3:$M$29,2,FALSE))+IF(Q28="",0,VLOOKUP(Q28,Tables!$B$33:$C$41,2,FALSE))))),"")</f>
        <v/>
      </c>
      <c r="T28" s="118" t="str">
        <f t="shared" si="0"/>
        <v/>
      </c>
      <c r="U28" s="85"/>
    </row>
    <row r="29" spans="2:21" ht="15.6">
      <c r="B29" s="85"/>
      <c r="C29" s="65"/>
      <c r="D29" s="59"/>
      <c r="E29" s="60"/>
      <c r="F29" s="66"/>
      <c r="G29" s="51"/>
      <c r="H29" s="52"/>
      <c r="I29" s="144"/>
      <c r="J29" s="145"/>
      <c r="K29" s="27"/>
      <c r="L29" s="71"/>
      <c r="M29" s="71"/>
      <c r="N29" s="27"/>
      <c r="O29" s="27"/>
      <c r="P29" s="28"/>
      <c r="Q29" s="29"/>
      <c r="R29" s="29"/>
      <c r="S29" s="117" t="str">
        <f>IFERROR(IF(K29="FOR",5,IF(OR(K29="ART",P29="Bomb"),VLOOKUP(P29,Tables!$L$3:$M$29,2,FALSE)+IF(Q29="",0,VLOOKUP(Q29,Tables!$B$33:$C$41,2,FALSE)),IF(R29="2-",ROUNDUP(0.75*(VLOOKUP(K29,Tables!$E$3:$F$18,2,FALSE)+VLOOKUP(L29,Tables!$O$3:$P$10,2,FALSE)+VLOOKUP(M29,Tables!$R$3:$S$9,2,FALSE)+IF(N29="",0,VLOOKUP(N29,Tables!$B$3:$C$5,2,FALSE))+IF(P29="",0,VLOOKUP(P29,Tables!$L$3:$M$29,2,FALSE))+IF(Q29="",0,VLOOKUP(Q29,Tables!$B$33:$C$41,2,FALSE))),0),VLOOKUP(K29,Tables!$E$3:$F$18,2,FALSE)+VLOOKUP(L29,Tables!$O$3:$P$10,2,FALSE)+VLOOKUP(M29,Tables!$R$3:$S$9,2,FALSE)+IF(N29="",0,VLOOKUP(N29,Tables!$B$3:$C$5,2,FALSE))+IF(P29="",0,VLOOKUP(P29,Tables!$L$3:$M$29,2,FALSE))+IF(Q29="",0,VLOOKUP(Q29,Tables!$B$33:$C$41,2,FALSE))))),"")</f>
        <v/>
      </c>
      <c r="T29" s="118" t="str">
        <f t="shared" si="0"/>
        <v/>
      </c>
      <c r="U29" s="85"/>
    </row>
    <row r="30" spans="2:21" ht="15.6">
      <c r="B30" s="85"/>
      <c r="C30" s="65"/>
      <c r="D30" s="59"/>
      <c r="E30" s="60"/>
      <c r="F30" s="66"/>
      <c r="G30" s="51"/>
      <c r="H30" s="52"/>
      <c r="I30" s="144"/>
      <c r="J30" s="145"/>
      <c r="K30" s="27"/>
      <c r="L30" s="71"/>
      <c r="M30" s="71"/>
      <c r="N30" s="27"/>
      <c r="O30" s="27"/>
      <c r="P30" s="28"/>
      <c r="Q30" s="29"/>
      <c r="R30" s="29"/>
      <c r="S30" s="117" t="str">
        <f>IFERROR(IF(K30="FOR",5,IF(OR(K30="ART",P30="Bomb"),VLOOKUP(P30,Tables!$L$3:$M$29,2,FALSE)+IF(Q30="",0,VLOOKUP(Q30,Tables!$B$33:$C$41,2,FALSE)),IF(R30="2-",ROUNDUP(0.75*(VLOOKUP(K30,Tables!$E$3:$F$18,2,FALSE)+VLOOKUP(L30,Tables!$O$3:$P$10,2,FALSE)+VLOOKUP(M30,Tables!$R$3:$S$9,2,FALSE)+IF(N30="",0,VLOOKUP(N30,Tables!$B$3:$C$5,2,FALSE))+IF(P30="",0,VLOOKUP(P30,Tables!$L$3:$M$29,2,FALSE))+IF(Q30="",0,VLOOKUP(Q30,Tables!$B$33:$C$41,2,FALSE))),0),VLOOKUP(K30,Tables!$E$3:$F$18,2,FALSE)+VLOOKUP(L30,Tables!$O$3:$P$10,2,FALSE)+VLOOKUP(M30,Tables!$R$3:$S$9,2,FALSE)+IF(N30="",0,VLOOKUP(N30,Tables!$B$3:$C$5,2,FALSE))+IF(P30="",0,VLOOKUP(P30,Tables!$L$3:$M$29,2,FALSE))+IF(Q30="",0,VLOOKUP(Q30,Tables!$B$33:$C$41,2,FALSE))))),"")</f>
        <v/>
      </c>
      <c r="T30" s="118" t="str">
        <f t="shared" si="0"/>
        <v/>
      </c>
      <c r="U30" s="85"/>
    </row>
    <row r="31" spans="2:21" ht="15.6">
      <c r="B31" s="85"/>
      <c r="C31" s="65"/>
      <c r="D31" s="59"/>
      <c r="E31" s="60"/>
      <c r="F31" s="66"/>
      <c r="G31" s="51"/>
      <c r="H31" s="52"/>
      <c r="I31" s="144"/>
      <c r="J31" s="145"/>
      <c r="K31" s="27"/>
      <c r="L31" s="71"/>
      <c r="M31" s="71"/>
      <c r="N31" s="27"/>
      <c r="O31" s="27"/>
      <c r="P31" s="28"/>
      <c r="Q31" s="29"/>
      <c r="R31" s="29"/>
      <c r="S31" s="117" t="str">
        <f>IFERROR(IF(K31="FOR",5,IF(OR(K31="ART",P31="Bomb"),VLOOKUP(P31,Tables!$L$3:$M$29,2,FALSE)+IF(Q31="",0,VLOOKUP(Q31,Tables!$B$33:$C$41,2,FALSE)),IF(R31="2-",ROUNDUP(0.75*(VLOOKUP(K31,Tables!$E$3:$F$18,2,FALSE)+VLOOKUP(L31,Tables!$O$3:$P$10,2,FALSE)+VLOOKUP(M31,Tables!$R$3:$S$9,2,FALSE)+IF(N31="",0,VLOOKUP(N31,Tables!$B$3:$C$5,2,FALSE))+IF(P31="",0,VLOOKUP(P31,Tables!$L$3:$M$29,2,FALSE))+IF(Q31="",0,VLOOKUP(Q31,Tables!$B$33:$C$41,2,FALSE))),0),VLOOKUP(K31,Tables!$E$3:$F$18,2,FALSE)+VLOOKUP(L31,Tables!$O$3:$P$10,2,FALSE)+VLOOKUP(M31,Tables!$R$3:$S$9,2,FALSE)+IF(N31="",0,VLOOKUP(N31,Tables!$B$3:$C$5,2,FALSE))+IF(P31="",0,VLOOKUP(P31,Tables!$L$3:$M$29,2,FALSE))+IF(Q31="",0,VLOOKUP(Q31,Tables!$B$33:$C$41,2,FALSE))))),"")</f>
        <v/>
      </c>
      <c r="T31" s="118" t="str">
        <f t="shared" si="0"/>
        <v/>
      </c>
      <c r="U31" s="85"/>
    </row>
    <row r="32" spans="2:21" ht="15.6">
      <c r="B32" s="85"/>
      <c r="C32" s="65"/>
      <c r="D32" s="59"/>
      <c r="E32" s="60"/>
      <c r="F32" s="66"/>
      <c r="G32" s="51"/>
      <c r="H32" s="52"/>
      <c r="I32" s="144"/>
      <c r="J32" s="145"/>
      <c r="K32" s="27"/>
      <c r="L32" s="71"/>
      <c r="M32" s="71"/>
      <c r="N32" s="27"/>
      <c r="O32" s="27"/>
      <c r="P32" s="28"/>
      <c r="Q32" s="29"/>
      <c r="R32" s="29"/>
      <c r="S32" s="117" t="str">
        <f>IFERROR(IF(K32="FOR",5,IF(OR(K32="ART",P32="Bomb"),VLOOKUP(P32,Tables!$L$3:$M$29,2,FALSE)+IF(Q32="",0,VLOOKUP(Q32,Tables!$B$33:$C$41,2,FALSE)),IF(R32="2-",ROUNDUP(0.75*(VLOOKUP(K32,Tables!$E$3:$F$18,2,FALSE)+VLOOKUP(L32,Tables!$O$3:$P$10,2,FALSE)+VLOOKUP(M32,Tables!$R$3:$S$9,2,FALSE)+IF(N32="",0,VLOOKUP(N32,Tables!$B$3:$C$5,2,FALSE))+IF(P32="",0,VLOOKUP(P32,Tables!$L$3:$M$29,2,FALSE))+IF(Q32="",0,VLOOKUP(Q32,Tables!$B$33:$C$41,2,FALSE))),0),VLOOKUP(K32,Tables!$E$3:$F$18,2,FALSE)+VLOOKUP(L32,Tables!$O$3:$P$10,2,FALSE)+VLOOKUP(M32,Tables!$R$3:$S$9,2,FALSE)+IF(N32="",0,VLOOKUP(N32,Tables!$B$3:$C$5,2,FALSE))+IF(P32="",0,VLOOKUP(P32,Tables!$L$3:$M$29,2,FALSE))+IF(Q32="",0,VLOOKUP(Q32,Tables!$B$33:$C$41,2,FALSE))))),"")</f>
        <v/>
      </c>
      <c r="T32" s="118" t="str">
        <f t="shared" si="0"/>
        <v/>
      </c>
      <c r="U32" s="85"/>
    </row>
    <row r="33" spans="2:21" ht="15.6">
      <c r="B33" s="85"/>
      <c r="C33" s="65"/>
      <c r="D33" s="59"/>
      <c r="E33" s="60"/>
      <c r="F33" s="66"/>
      <c r="G33" s="51"/>
      <c r="H33" s="52"/>
      <c r="I33" s="144"/>
      <c r="J33" s="145"/>
      <c r="K33" s="27"/>
      <c r="L33" s="71"/>
      <c r="M33" s="71"/>
      <c r="N33" s="27"/>
      <c r="O33" s="27"/>
      <c r="P33" s="28"/>
      <c r="Q33" s="29"/>
      <c r="R33" s="29"/>
      <c r="S33" s="117" t="str">
        <f>IFERROR(IF(K33="FOR",5,IF(OR(K33="ART",P33="Bomb"),VLOOKUP(P33,Tables!$L$3:$M$29,2,FALSE)+IF(Q33="",0,VLOOKUP(Q33,Tables!$B$33:$C$41,2,FALSE)),IF(R33="2-",ROUNDUP(0.75*(VLOOKUP(K33,Tables!$E$3:$F$18,2,FALSE)+VLOOKUP(L33,Tables!$O$3:$P$10,2,FALSE)+VLOOKUP(M33,Tables!$R$3:$S$9,2,FALSE)+IF(N33="",0,VLOOKUP(N33,Tables!$B$3:$C$5,2,FALSE))+IF(P33="",0,VLOOKUP(P33,Tables!$L$3:$M$29,2,FALSE))+IF(Q33="",0,VLOOKUP(Q33,Tables!$B$33:$C$41,2,FALSE))),0),VLOOKUP(K33,Tables!$E$3:$F$18,2,FALSE)+VLOOKUP(L33,Tables!$O$3:$P$10,2,FALSE)+VLOOKUP(M33,Tables!$R$3:$S$9,2,FALSE)+IF(N33="",0,VLOOKUP(N33,Tables!$B$3:$C$5,2,FALSE))+IF(P33="",0,VLOOKUP(P33,Tables!$L$3:$M$29,2,FALSE))+IF(Q33="",0,VLOOKUP(Q33,Tables!$B$33:$C$41,2,FALSE))))),"")</f>
        <v/>
      </c>
      <c r="T33" s="118" t="str">
        <f t="shared" si="0"/>
        <v/>
      </c>
      <c r="U33" s="85"/>
    </row>
    <row r="34" spans="2:21" ht="15.6">
      <c r="B34" s="85"/>
      <c r="C34" s="65"/>
      <c r="D34" s="59"/>
      <c r="E34" s="60"/>
      <c r="F34" s="66"/>
      <c r="G34" s="51"/>
      <c r="H34" s="52"/>
      <c r="I34" s="144"/>
      <c r="J34" s="145"/>
      <c r="K34" s="27"/>
      <c r="L34" s="71"/>
      <c r="M34" s="71"/>
      <c r="N34" s="27"/>
      <c r="O34" s="27"/>
      <c r="P34" s="28"/>
      <c r="Q34" s="29"/>
      <c r="R34" s="29"/>
      <c r="S34" s="117" t="str">
        <f>IFERROR(IF(K34="FOR",5,IF(OR(K34="ART",P34="Bomb"),VLOOKUP(P34,Tables!$L$3:$M$29,2,FALSE)+IF(Q34="",0,VLOOKUP(Q34,Tables!$B$33:$C$41,2,FALSE)),IF(R34="2-",ROUNDUP(0.75*(VLOOKUP(K34,Tables!$E$3:$F$18,2,FALSE)+VLOOKUP(L34,Tables!$O$3:$P$10,2,FALSE)+VLOOKUP(M34,Tables!$R$3:$S$9,2,FALSE)+IF(N34="",0,VLOOKUP(N34,Tables!$B$3:$C$5,2,FALSE))+IF(P34="",0,VLOOKUP(P34,Tables!$L$3:$M$29,2,FALSE))+IF(Q34="",0,VLOOKUP(Q34,Tables!$B$33:$C$41,2,FALSE))),0),VLOOKUP(K34,Tables!$E$3:$F$18,2,FALSE)+VLOOKUP(L34,Tables!$O$3:$P$10,2,FALSE)+VLOOKUP(M34,Tables!$R$3:$S$9,2,FALSE)+IF(N34="",0,VLOOKUP(N34,Tables!$B$3:$C$5,2,FALSE))+IF(P34="",0,VLOOKUP(P34,Tables!$L$3:$M$29,2,FALSE))+IF(Q34="",0,VLOOKUP(Q34,Tables!$B$33:$C$41,2,FALSE))))),"")</f>
        <v/>
      </c>
      <c r="T34" s="118" t="str">
        <f t="shared" ref="T34:T38" si="1">IF(AND(C34="",D34="",E34="",F34=""),"","Y")</f>
        <v/>
      </c>
      <c r="U34" s="85"/>
    </row>
    <row r="35" spans="2:21" ht="15.6">
      <c r="B35" s="85"/>
      <c r="C35" s="65"/>
      <c r="D35" s="59"/>
      <c r="E35" s="60"/>
      <c r="F35" s="66"/>
      <c r="G35" s="51"/>
      <c r="H35" s="52"/>
      <c r="I35" s="144"/>
      <c r="J35" s="145"/>
      <c r="K35" s="27"/>
      <c r="L35" s="71"/>
      <c r="M35" s="71"/>
      <c r="N35" s="27"/>
      <c r="O35" s="27"/>
      <c r="P35" s="28"/>
      <c r="Q35" s="29"/>
      <c r="R35" s="29"/>
      <c r="S35" s="117" t="str">
        <f>IFERROR(IF(K35="FOR",5,IF(OR(K35="ART",P35="Bomb"),VLOOKUP(P35,Tables!$L$3:$M$29,2,FALSE)+IF(Q35="",0,VLOOKUP(Q35,Tables!$B$33:$C$41,2,FALSE)),IF(R35="2-",ROUNDUP(0.75*(VLOOKUP(K35,Tables!$E$3:$F$18,2,FALSE)+VLOOKUP(L35,Tables!$O$3:$P$10,2,FALSE)+VLOOKUP(M35,Tables!$R$3:$S$9,2,FALSE)+IF(N35="",0,VLOOKUP(N35,Tables!$B$3:$C$5,2,FALSE))+IF(P35="",0,VLOOKUP(P35,Tables!$L$3:$M$29,2,FALSE))+IF(Q35="",0,VLOOKUP(Q35,Tables!$B$33:$C$41,2,FALSE))),0),VLOOKUP(K35,Tables!$E$3:$F$18,2,FALSE)+VLOOKUP(L35,Tables!$O$3:$P$10,2,FALSE)+VLOOKUP(M35,Tables!$R$3:$S$9,2,FALSE)+IF(N35="",0,VLOOKUP(N35,Tables!$B$3:$C$5,2,FALSE))+IF(P35="",0,VLOOKUP(P35,Tables!$L$3:$M$29,2,FALSE))+IF(Q35="",0,VLOOKUP(Q35,Tables!$B$33:$C$41,2,FALSE))))),"")</f>
        <v/>
      </c>
      <c r="T35" s="118" t="str">
        <f t="shared" si="1"/>
        <v/>
      </c>
      <c r="U35" s="85"/>
    </row>
    <row r="36" spans="2:21" ht="15.6">
      <c r="B36" s="85"/>
      <c r="C36" s="65"/>
      <c r="D36" s="59"/>
      <c r="E36" s="60"/>
      <c r="F36" s="66"/>
      <c r="G36" s="51"/>
      <c r="H36" s="52"/>
      <c r="I36" s="144"/>
      <c r="J36" s="145"/>
      <c r="K36" s="27"/>
      <c r="L36" s="71"/>
      <c r="M36" s="71"/>
      <c r="N36" s="27"/>
      <c r="O36" s="27"/>
      <c r="P36" s="28"/>
      <c r="Q36" s="29"/>
      <c r="R36" s="29"/>
      <c r="S36" s="117" t="str">
        <f>IFERROR(IF(K36="FOR",5,IF(OR(K36="ART",P36="Bomb"),VLOOKUP(P36,Tables!$L$3:$M$29,2,FALSE)+IF(Q36="",0,VLOOKUP(Q36,Tables!$B$33:$C$41,2,FALSE)),IF(R36="2-",ROUNDUP(0.75*(VLOOKUP(K36,Tables!$E$3:$F$18,2,FALSE)+VLOOKUP(L36,Tables!$O$3:$P$10,2,FALSE)+VLOOKUP(M36,Tables!$R$3:$S$9,2,FALSE)+IF(N36="",0,VLOOKUP(N36,Tables!$B$3:$C$5,2,FALSE))+IF(P36="",0,VLOOKUP(P36,Tables!$L$3:$M$29,2,FALSE))+IF(Q36="",0,VLOOKUP(Q36,Tables!$B$33:$C$41,2,FALSE))),0),VLOOKUP(K36,Tables!$E$3:$F$18,2,FALSE)+VLOOKUP(L36,Tables!$O$3:$P$10,2,FALSE)+VLOOKUP(M36,Tables!$R$3:$S$9,2,FALSE)+IF(N36="",0,VLOOKUP(N36,Tables!$B$3:$C$5,2,FALSE))+IF(P36="",0,VLOOKUP(P36,Tables!$L$3:$M$29,2,FALSE))+IF(Q36="",0,VLOOKUP(Q36,Tables!$B$33:$C$41,2,FALSE))))),"")</f>
        <v/>
      </c>
      <c r="T36" s="118" t="str">
        <f t="shared" si="1"/>
        <v/>
      </c>
      <c r="U36" s="85"/>
    </row>
    <row r="37" spans="2:21" ht="15.6">
      <c r="B37" s="85"/>
      <c r="C37" s="65"/>
      <c r="D37" s="59"/>
      <c r="E37" s="60"/>
      <c r="F37" s="66"/>
      <c r="G37" s="51"/>
      <c r="H37" s="52"/>
      <c r="I37" s="144"/>
      <c r="J37" s="145"/>
      <c r="K37" s="27"/>
      <c r="L37" s="71"/>
      <c r="M37" s="71"/>
      <c r="N37" s="27"/>
      <c r="O37" s="27"/>
      <c r="P37" s="28"/>
      <c r="Q37" s="29"/>
      <c r="R37" s="29"/>
      <c r="S37" s="117" t="str">
        <f>IFERROR(IF(K37="FOR",5,IF(OR(K37="ART",P37="Bomb"),VLOOKUP(P37,Tables!$L$3:$M$29,2,FALSE)+IF(Q37="",0,VLOOKUP(Q37,Tables!$B$33:$C$41,2,FALSE)),IF(R37="2-",ROUNDUP(0.75*(VLOOKUP(K37,Tables!$E$3:$F$18,2,FALSE)+VLOOKUP(L37,Tables!$O$3:$P$10,2,FALSE)+VLOOKUP(M37,Tables!$R$3:$S$9,2,FALSE)+IF(N37="",0,VLOOKUP(N37,Tables!$B$3:$C$5,2,FALSE))+IF(P37="",0,VLOOKUP(P37,Tables!$L$3:$M$29,2,FALSE))+IF(Q37="",0,VLOOKUP(Q37,Tables!$B$33:$C$41,2,FALSE))),0),VLOOKUP(K37,Tables!$E$3:$F$18,2,FALSE)+VLOOKUP(L37,Tables!$O$3:$P$10,2,FALSE)+VLOOKUP(M37,Tables!$R$3:$S$9,2,FALSE)+IF(N37="",0,VLOOKUP(N37,Tables!$B$3:$C$5,2,FALSE))+IF(P37="",0,VLOOKUP(P37,Tables!$L$3:$M$29,2,FALSE))+IF(Q37="",0,VLOOKUP(Q37,Tables!$B$33:$C$41,2,FALSE))))),"")</f>
        <v/>
      </c>
      <c r="T37" s="118" t="str">
        <f t="shared" si="1"/>
        <v/>
      </c>
      <c r="U37" s="85"/>
    </row>
    <row r="38" spans="2:21" ht="15.6">
      <c r="B38" s="85"/>
      <c r="C38" s="65"/>
      <c r="D38" s="59"/>
      <c r="E38" s="60"/>
      <c r="F38" s="66"/>
      <c r="G38" s="51"/>
      <c r="H38" s="52"/>
      <c r="I38" s="144"/>
      <c r="J38" s="145"/>
      <c r="K38" s="27"/>
      <c r="L38" s="71"/>
      <c r="M38" s="71"/>
      <c r="N38" s="27"/>
      <c r="O38" s="27"/>
      <c r="P38" s="28"/>
      <c r="Q38" s="29"/>
      <c r="R38" s="29"/>
      <c r="S38" s="117" t="str">
        <f>IFERROR(IF(K38="FOR",5,IF(OR(K38="ART",P38="Bomb"),VLOOKUP(P38,Tables!$L$3:$M$29,2,FALSE)+IF(Q38="",0,VLOOKUP(Q38,Tables!$B$33:$C$41,2,FALSE)),IF(R38="2-",ROUNDUP(0.75*(VLOOKUP(K38,Tables!$E$3:$F$18,2,FALSE)+VLOOKUP(L38,Tables!$O$3:$P$10,2,FALSE)+VLOOKUP(M38,Tables!$R$3:$S$9,2,FALSE)+IF(N38="",0,VLOOKUP(N38,Tables!$B$3:$C$5,2,FALSE))+IF(P38="",0,VLOOKUP(P38,Tables!$L$3:$M$29,2,FALSE))+IF(Q38="",0,VLOOKUP(Q38,Tables!$B$33:$C$41,2,FALSE))),0),VLOOKUP(K38,Tables!$E$3:$F$18,2,FALSE)+VLOOKUP(L38,Tables!$O$3:$P$10,2,FALSE)+VLOOKUP(M38,Tables!$R$3:$S$9,2,FALSE)+IF(N38="",0,VLOOKUP(N38,Tables!$B$3:$C$5,2,FALSE))+IF(P38="",0,VLOOKUP(P38,Tables!$L$3:$M$29,2,FALSE))+IF(Q38="",0,VLOOKUP(Q38,Tables!$B$33:$C$41,2,FALSE))))),"")</f>
        <v/>
      </c>
      <c r="T38" s="118" t="str">
        <f t="shared" si="1"/>
        <v/>
      </c>
      <c r="U38" s="85"/>
    </row>
    <row r="39" spans="2:21" ht="15.6">
      <c r="B39" s="85"/>
      <c r="C39" s="65"/>
      <c r="D39" s="59"/>
      <c r="E39" s="60"/>
      <c r="F39" s="66"/>
      <c r="G39" s="51"/>
      <c r="H39" s="52"/>
      <c r="I39" s="144"/>
      <c r="J39" s="145"/>
      <c r="K39" s="27"/>
      <c r="L39" s="71"/>
      <c r="M39" s="71"/>
      <c r="N39" s="27"/>
      <c r="O39" s="27"/>
      <c r="P39" s="28"/>
      <c r="Q39" s="29"/>
      <c r="R39" s="29"/>
      <c r="S39" s="117" t="str">
        <f>IFERROR(IF(K39="FOR",5,IF(OR(K39="ART",P39="Bomb"),VLOOKUP(P39,Tables!$L$3:$M$29,2,FALSE)+IF(Q39="",0,VLOOKUP(Q39,Tables!$B$33:$C$41,2,FALSE)),IF(R39="2-",ROUNDUP(0.75*(VLOOKUP(K39,Tables!$E$3:$F$18,2,FALSE)+VLOOKUP(L39,Tables!$O$3:$P$10,2,FALSE)+VLOOKUP(M39,Tables!$R$3:$S$9,2,FALSE)+IF(N39="",0,VLOOKUP(N39,Tables!$B$3:$C$5,2,FALSE))+IF(P39="",0,VLOOKUP(P39,Tables!$L$3:$M$29,2,FALSE))+IF(Q39="",0,VLOOKUP(Q39,Tables!$B$33:$C$41,2,FALSE))),0),VLOOKUP(K39,Tables!$E$3:$F$18,2,FALSE)+VLOOKUP(L39,Tables!$O$3:$P$10,2,FALSE)+VLOOKUP(M39,Tables!$R$3:$S$9,2,FALSE)+IF(N39="",0,VLOOKUP(N39,Tables!$B$3:$C$5,2,FALSE))+IF(P39="",0,VLOOKUP(P39,Tables!$L$3:$M$29,2,FALSE))+IF(Q39="",0,VLOOKUP(Q39,Tables!$B$33:$C$41,2,FALSE))))),"")</f>
        <v/>
      </c>
      <c r="T39" s="118" t="str">
        <f t="shared" si="0"/>
        <v/>
      </c>
      <c r="U39" s="85"/>
    </row>
    <row r="40" spans="2:21" ht="16.2" thickBot="1">
      <c r="B40" s="85"/>
      <c r="C40" s="67"/>
      <c r="D40" s="68"/>
      <c r="E40" s="69"/>
      <c r="F40" s="70"/>
      <c r="G40" s="53"/>
      <c r="H40" s="54"/>
      <c r="I40" s="174"/>
      <c r="J40" s="175"/>
      <c r="K40" s="30"/>
      <c r="L40" s="30"/>
      <c r="M40" s="30"/>
      <c r="N40" s="30"/>
      <c r="O40" s="82"/>
      <c r="P40" s="31"/>
      <c r="Q40" s="32"/>
      <c r="R40" s="32"/>
      <c r="S40" s="117" t="str">
        <f>IFERROR(IF(K40="FOR",5,IF(OR(K40="ART",P40="Bomb"),VLOOKUP(P40,Tables!$L$3:$M$29,2,FALSE)+IF(Q40="",0,VLOOKUP(Q40,Tables!$B$33:$C$41,2,FALSE)),IF(R40="2-",ROUNDUP(0.75*(VLOOKUP(K40,Tables!$E$3:$F$18,2,FALSE)+VLOOKUP(L40,Tables!$O$3:$P$10,2,FALSE)+VLOOKUP(M40,Tables!$R$3:$S$9,2,FALSE)+IF(N40="",0,VLOOKUP(N40,Tables!$B$3:$C$5,2,FALSE))+IF(P40="",0,VLOOKUP(P40,Tables!$L$3:$M$29,2,FALSE))+IF(Q40="",0,VLOOKUP(Q40,Tables!$B$33:$C$41,2,FALSE))),0),VLOOKUP(K40,Tables!$E$3:$F$18,2,FALSE)+VLOOKUP(L40,Tables!$O$3:$P$10,2,FALSE)+VLOOKUP(M40,Tables!$R$3:$S$9,2,FALSE)+IF(N40="",0,VLOOKUP(N40,Tables!$B$3:$C$5,2,FALSE))+IF(P40="",0,VLOOKUP(P40,Tables!$L$3:$M$29,2,FALSE))+IF(Q40="",0,VLOOKUP(Q40,Tables!$B$33:$C$41,2,FALSE))))),"")</f>
        <v/>
      </c>
      <c r="T40" s="118" t="str">
        <f t="shared" si="0"/>
        <v/>
      </c>
      <c r="U40" s="85"/>
    </row>
    <row r="41" spans="2:21" ht="15.6">
      <c r="B41" s="85"/>
      <c r="C41" s="57"/>
      <c r="D41" s="58"/>
      <c r="E41" s="58"/>
      <c r="F41" s="58"/>
      <c r="G41" s="37"/>
      <c r="H41" s="37"/>
      <c r="I41" s="39"/>
      <c r="J41" s="39"/>
      <c r="K41" s="37"/>
      <c r="L41" s="37"/>
      <c r="M41" s="38"/>
      <c r="N41" s="39"/>
      <c r="O41" s="39"/>
      <c r="P41" s="39"/>
      <c r="Q41" s="39"/>
      <c r="R41" s="39"/>
      <c r="S41" s="40"/>
      <c r="T41" s="119"/>
      <c r="U41" s="85"/>
    </row>
    <row r="42" spans="2:21" ht="18">
      <c r="B42" s="85"/>
      <c r="C42" s="41"/>
      <c r="D42" s="131"/>
      <c r="E42" s="162" t="s">
        <v>63</v>
      </c>
      <c r="F42" s="163"/>
      <c r="G42" s="161" t="s">
        <v>64</v>
      </c>
      <c r="H42" s="163"/>
      <c r="I42" s="33"/>
      <c r="J42" s="90" t="s">
        <v>139</v>
      </c>
      <c r="K42" s="120" t="s">
        <v>191</v>
      </c>
      <c r="L42" s="33"/>
      <c r="M42" s="183" t="s">
        <v>66</v>
      </c>
      <c r="N42" s="184"/>
      <c r="O42" s="185"/>
      <c r="Q42" s="176" t="s">
        <v>138</v>
      </c>
      <c r="R42" s="177"/>
      <c r="S42" s="42"/>
      <c r="T42" s="119"/>
      <c r="U42" s="85"/>
    </row>
    <row r="43" spans="2:21" ht="15" customHeight="1">
      <c r="B43" s="85"/>
      <c r="C43" s="41"/>
      <c r="D43" s="132" t="s">
        <v>141</v>
      </c>
      <c r="E43" s="191"/>
      <c r="F43" s="192"/>
      <c r="G43" s="189"/>
      <c r="H43" s="190"/>
      <c r="I43" s="33"/>
      <c r="J43" s="90" t="s">
        <v>179</v>
      </c>
      <c r="L43" s="33"/>
      <c r="M43" s="180"/>
      <c r="N43" s="181"/>
      <c r="O43" s="182"/>
      <c r="Q43" s="178"/>
      <c r="R43" s="179"/>
      <c r="S43" s="93"/>
      <c r="T43" s="119"/>
      <c r="U43" s="85"/>
    </row>
    <row r="44" spans="2:21" ht="13.8">
      <c r="B44" s="85"/>
      <c r="C44" s="43"/>
      <c r="D44" s="132" t="s">
        <v>142</v>
      </c>
      <c r="E44" s="191"/>
      <c r="F44" s="192"/>
      <c r="G44" s="189"/>
      <c r="H44" s="190"/>
      <c r="I44" s="33"/>
      <c r="J44" s="89"/>
      <c r="L44" s="33"/>
      <c r="M44" s="46"/>
      <c r="S44" s="93"/>
      <c r="T44" s="119"/>
      <c r="U44" s="85"/>
    </row>
    <row r="45" spans="2:21" ht="15.6">
      <c r="B45" s="85"/>
      <c r="C45" s="44"/>
      <c r="D45" s="132" t="s">
        <v>143</v>
      </c>
      <c r="E45" s="191"/>
      <c r="F45" s="192"/>
      <c r="G45" s="189"/>
      <c r="H45" s="190"/>
      <c r="I45" s="46"/>
      <c r="J45" s="161" t="s">
        <v>20</v>
      </c>
      <c r="K45" s="162"/>
      <c r="L45" s="162"/>
      <c r="M45" s="163"/>
      <c r="O45" s="161" t="s">
        <v>21</v>
      </c>
      <c r="P45" s="162"/>
      <c r="Q45" s="162"/>
      <c r="R45" s="163"/>
      <c r="S45" s="93"/>
      <c r="T45" s="119"/>
      <c r="U45" s="85"/>
    </row>
    <row r="46" spans="2:21" ht="13.8">
      <c r="B46" s="85"/>
      <c r="C46" s="45"/>
      <c r="D46" s="132" t="s">
        <v>144</v>
      </c>
      <c r="E46" s="191"/>
      <c r="F46" s="192"/>
      <c r="G46" s="189"/>
      <c r="H46" s="190"/>
      <c r="J46" s="140" t="s">
        <v>290</v>
      </c>
      <c r="K46" s="95" t="s">
        <v>137</v>
      </c>
      <c r="L46" s="125">
        <v>0.33</v>
      </c>
      <c r="M46" s="125">
        <v>0.5</v>
      </c>
      <c r="O46" s="140" t="s">
        <v>290</v>
      </c>
      <c r="P46" s="34" t="s">
        <v>137</v>
      </c>
      <c r="Q46" s="125">
        <v>0.33</v>
      </c>
      <c r="R46" s="125">
        <v>0.5</v>
      </c>
      <c r="S46" s="93"/>
      <c r="T46" s="119"/>
      <c r="U46" s="85"/>
    </row>
    <row r="47" spans="2:21" ht="15.6">
      <c r="B47" s="85"/>
      <c r="C47" s="44"/>
      <c r="J47" s="141">
        <f>IFERROR(ROUNDUP(K47/SUM(K47,P47,K52,P52,VLOOKUP(Q43,Tables!$O$16:$P$17,2,FALSE)),2),0)</f>
        <v>0</v>
      </c>
      <c r="K47" s="35">
        <f>IFERROR($C$6*$O$6,0)+IFERROR($C$7*$O$7,0)+IFERROR($C$8*$O$8,0)+IFERROR($C$9*$O$9,0)+IFERROR($C$10*$O$10,0)+IFERROR($C$11*$O$11,0)+IFERROR($C$12*$O$12,0)+IFERROR($C$13*$O$13,0)+IFERROR($C$14*$O$14,0)+IFERROR($C$15*$O$15,0)+IFERROR($C$16*$O$16,0)+IFERROR($C$17*$O$17,0)+IFERROR($C$18*$O$18,0)+IFERROR($C$19*$O$19,0)+IFERROR($C$20*$O$20,0)+IFERROR($C$21*$O$21,0)+IFERROR($C$22*$O$22,0)+IFERROR($C$23*$O$23,0)+IFERROR($C$24*$O$24,0)+IFERROR($C$25*$O$25,0)+IFERROR($C$26*$O$26,0)+IFERROR($C$27*$O$27,0)+IFERROR($C$28*$O$28,0)+IFERROR($C$29*$O$29,0)+IFERROR($C$30*$O$30,0)+IFERROR($C$31*$O$31,0)+IFERROR($C$32*$O$32,0)+IFERROR($C$33*$O$33,0)+IFERROR($C$34*$O$34,0)+IFERROR($C$35*$O$35,0)+IFERROR($C$36*$O$36,0)+IFERROR($C$37*$O$37,0)+IFERROR($C$38*$O$38,0)+IFERROR($C$39*$O$39,0)+IFERROR($C$40*$O$40,0)+IFERROR(VLOOKUP(E43,Tables!O33:P43,2,FALSE),0)</f>
        <v>0</v>
      </c>
      <c r="L47" s="36">
        <f>ROUNDUP(K47/3,0)</f>
        <v>0</v>
      </c>
      <c r="M47" s="96">
        <f>ROUNDUP(K47/2,0)</f>
        <v>0</v>
      </c>
      <c r="O47" s="141">
        <f>IFERROR(ROUNDUP(P47/SUM(K47,P47,K52,P52,VLOOKUP(Q43,Tables!$O$16:$P$17,2,FALSE)),2),0)</f>
        <v>0</v>
      </c>
      <c r="P47" s="35">
        <f>IFERROR($D$6*$O$6,0)+IFERROR($D$7*$O$7,0)+IFERROR($D$8*$O$8,0)+IFERROR($D$9*$O$9,0)+IFERROR($D$10*$O$10,0)+IFERROR($D$11*$O$11,0)+IFERROR($D$12*$O$12,0)+IFERROR($D$13*$O$13,0)+IFERROR($D$14*$O$14,0)+IFERROR($D$15*$O$15,0)+IFERROR($D$16*$O$16,0)+IFERROR($D$17*$O$17,0)+IFERROR($D$18*$O$18,0)+IFERROR($D$19*$O$19,0)+IFERROR($D$20*$O$20,0)+IFERROR($D$21*$O$21,0)+IFERROR($D$22*$O$22,0)+IFERROR($D$23*$O$23,0)+IFERROR($D$24*$O$24,0)+IFERROR($D$25*$O$25,0)+IFERROR($D$26*$O$26,0)+IFERROR($D$27*$O$27,0)+IFERROR($D$28*$O$28,0)+IFERROR($D$29*$O$29,0)+IFERROR($D$30*$O$30,0)+IFERROR($D$31*$O$31,0)+IFERROR($D$32*$O$32,0)+IFERROR($D$33*$O$33,0)+IFERROR($D$34*$O$34,0)+IFERROR($D$35*$O$35,0)+IFERROR($D$36*$O$36,0)+IFERROR($D$37*$O$37,0)+IFERROR($D$38*$O$38,0)+IFERROR($D$39*$O$39,0)+IFERROR($D$40*$O$40,0)+IFERROR(VLOOKUP(E44,Tables!O33:P43,2,FALSE),0)</f>
        <v>0</v>
      </c>
      <c r="Q47" s="36">
        <f>ROUNDUP(P47/3,0)</f>
        <v>0</v>
      </c>
      <c r="R47" s="96">
        <f>ROUNDUP(P47/2,0)</f>
        <v>0</v>
      </c>
      <c r="S47" s="42"/>
      <c r="T47" s="119"/>
      <c r="U47" s="85"/>
    </row>
    <row r="48" spans="2:21" ht="18">
      <c r="B48" s="85"/>
      <c r="C48" s="41"/>
      <c r="D48" s="212" t="s">
        <v>214</v>
      </c>
      <c r="E48" s="213"/>
      <c r="F48" s="213"/>
      <c r="G48" s="213"/>
      <c r="H48" s="214"/>
      <c r="J48" s="101" t="s">
        <v>67</v>
      </c>
      <c r="K48" s="158">
        <f>IFERROR($C$6*$S$6,0)+IFERROR($C$7*$S$7,0)+IFERROR($C$8*$S$8,0)+IFERROR($C$9*$S$9,0)+IFERROR($C$10*$S$10,0)+IFERROR($C$11*$S$11,0)+IFERROR($C$12*$S$12,0)+IFERROR($C$13*$S$13,0)+IFERROR($C$14*$S$14,0)+IFERROR($C$15*$S$15,0)+IFERROR($C$16*$S$16,0)+IFERROR($C$17*$S$17,0)+IFERROR($C$18*$S$18,0)+IFERROR($C$19*$S$19,0)+IFERROR($C$20*$S$20,0)+IFERROR($C$21*$S$21,0)+IFERROR($C$22*$S$22,0)+IFERROR($C$23*$S$23,0)+IFERROR($C$24*$S$24,0)+IFERROR($C$25*$S$25,0)+IFERROR($C$26*$S$26,0)+IFERROR($C$27*$S$27,0)+IFERROR($C$28*$S$28,0)+IFERROR($C$29*$S$29,0)+IFERROR($C$30*$S$30,0)+IFERROR($C$31*$S$31,0)+IFERROR($C$32*$S$32,0)+IFERROR($C$33*$S$33,0)+IFERROR($C$34*$S$34,0)+IFERROR($C$35*$S$35,0)+IFERROR($C$36*$S$36,0)+IFERROR($C$37*$S$37,0)+IFERROR($C$38*$S$38,0)+IFERROR($C$39*$S$39,0)+IFERROR($C$40*$S$40,0) +IFERROR(VLOOKUP(E43,Tables!L33:M43,2,FALSE),0)+IFERROR(VLOOKUP(G43,Tables!R33:S37,2,FALSE),0)</f>
        <v>0</v>
      </c>
      <c r="L48" s="159"/>
      <c r="M48" s="160"/>
      <c r="O48" s="101" t="s">
        <v>67</v>
      </c>
      <c r="P48" s="158">
        <f>IFERROR($D$6*$S$6,0)+IFERROR($D$7*$S$7,0)+IFERROR($D$8*$S$8,0)+IFERROR($D$9*$S$9,0)+IFERROR($D$10*$S$10,0)+IFERROR($D$11*$S$11,0)+IFERROR($D$12*$S$12,0)+IFERROR($D$13*$S$13,0)+IFERROR($D$14*$S$14,0)+IFERROR($D$15*$S$15,0)+IFERROR($D$16*$S$16,0)+IFERROR($D$17*$S$17,0)+IFERROR($D$18*$S$18,0)+IFERROR($D$19*$S$19,0)+IFERROR($D$20*$S$20,0)+IFERROR($D$21*$S$21,0)+IFERROR($D$22*$S$22,0)+IFERROR($D$23*$S$23,0)+IFERROR($D$24*$S$24,0)+IFERROR($D$25*$S$25,0)+IFERROR($D$26*$S$26,0)+IFERROR($D$27*$S$27,0)+IFERROR($D$28*$S$28,0)+IFERROR($D$29*$S$29,0)+IFERROR($D$30*$S$30,0)+IFERROR($D$31*$S$31,0)+IFERROR($D$32*$S$32,0)+IFERROR($D$33*$S$33,0)+IFERROR($D$34*$S$34,0)+IFERROR($D$35*$S$35,0)+IFERROR($D$36*$S$36,0)+IFERROR($D$37*$S$37,0)+IFERROR($D$38*$S$38,0)+IFERROR($D$39*$S$39,0)+IFERROR($D$40*$S$40,0) +IFERROR(VLOOKUP(E44,Tables!L33:M43,2,FALSE),0)+IFERROR(VLOOKUP(G44,Tables!R33:S37,2,FALSE),0)</f>
        <v>0</v>
      </c>
      <c r="Q48" s="159"/>
      <c r="R48" s="160"/>
      <c r="S48" s="42"/>
      <c r="T48" s="119"/>
      <c r="U48" s="85"/>
    </row>
    <row r="49" spans="2:21" ht="13.8">
      <c r="B49" s="85"/>
      <c r="C49" s="41"/>
      <c r="D49" s="186"/>
      <c r="E49" s="187"/>
      <c r="F49" s="187"/>
      <c r="G49" s="187"/>
      <c r="H49" s="188"/>
      <c r="I49" s="33"/>
      <c r="S49" s="42"/>
      <c r="T49" s="119"/>
      <c r="U49" s="85"/>
    </row>
    <row r="50" spans="2:21" ht="15.6">
      <c r="B50" s="85"/>
      <c r="C50" s="41"/>
      <c r="D50" s="186"/>
      <c r="E50" s="187"/>
      <c r="F50" s="187"/>
      <c r="G50" s="187"/>
      <c r="H50" s="188"/>
      <c r="I50" s="33"/>
      <c r="J50" s="161" t="s">
        <v>22</v>
      </c>
      <c r="K50" s="162"/>
      <c r="L50" s="162"/>
      <c r="M50" s="163"/>
      <c r="O50" s="161" t="s">
        <v>23</v>
      </c>
      <c r="P50" s="162"/>
      <c r="Q50" s="162"/>
      <c r="R50" s="163"/>
      <c r="S50" s="42"/>
      <c r="T50" s="119"/>
      <c r="U50" s="85"/>
    </row>
    <row r="51" spans="2:21" ht="13.8">
      <c r="B51" s="85"/>
      <c r="C51" s="41"/>
      <c r="D51" s="186"/>
      <c r="E51" s="187"/>
      <c r="F51" s="187"/>
      <c r="G51" s="187"/>
      <c r="H51" s="188"/>
      <c r="I51" s="33"/>
      <c r="J51" s="140" t="s">
        <v>290</v>
      </c>
      <c r="K51" s="126" t="s">
        <v>137</v>
      </c>
      <c r="L51" s="125">
        <v>0.33</v>
      </c>
      <c r="M51" s="125">
        <v>0.5</v>
      </c>
      <c r="O51" s="140" t="s">
        <v>290</v>
      </c>
      <c r="P51" s="34" t="s">
        <v>137</v>
      </c>
      <c r="Q51" s="125">
        <v>0.33</v>
      </c>
      <c r="R51" s="125">
        <v>0.5</v>
      </c>
      <c r="S51" s="42"/>
      <c r="T51" s="119"/>
      <c r="U51" s="85"/>
    </row>
    <row r="52" spans="2:21" ht="15.6">
      <c r="B52" s="85"/>
      <c r="C52" s="41"/>
      <c r="D52" s="186"/>
      <c r="E52" s="187"/>
      <c r="F52" s="187"/>
      <c r="G52" s="187"/>
      <c r="H52" s="188"/>
      <c r="I52" s="33"/>
      <c r="J52" s="141">
        <f>IFERROR(ROUNDUP(K52/SUM(K47,P47,K52,P52,VLOOKUP(Q43,Tables!$O$16:$P$17,2,FALSE)),2),0)</f>
        <v>0</v>
      </c>
      <c r="K52" s="35">
        <f>IFERROR($E$6*$O$6,0)+IFERROR($E$7*$O$7,0)+IFERROR($E$8*$O$8,0)+IFERROR($E$9*$O$9,0)+IFERROR($E$10*$O$10,0)+IFERROR($E$11*$O$11,0)+IFERROR($E$12*$O$12,0)+IFERROR($E$13*$O$13,0)+IFERROR($E$14*$O$14,0)+IFERROR($E$15*$O$15,0)+IFERROR($E$16*$O$16,0)+IFERROR($E$17*$O$17,0)+IFERROR($E$18*$O$18,0)+IFERROR($E$19*$O$19,0)+IFERROR($E$20*$O$20,0)+IFERROR($E$21*$O$21,0)+IFERROR($E$22*$O$22,0)+IFERROR($E$23*$O$23,0)+IFERROR($E$24*$O$24,0)+IFERROR($E$25*$O$25,0)+IFERROR($E$26*$O$26,0)+IFERROR($E$27*$O$27,0)+IFERROR($E$28*$O$28,0)+IFERROR($E$29*$O$29,0)+IFERROR($E$30*$O$30,0)+IFERROR($E$31*$O$31,0)+IFERROR($E$32*$O$32,0)+IFERROR($E$33*$O$33,0)+IFERROR($E$34*$O$34,0)+IFERROR($E$35*$O$35,0)+IFERROR($E$36*$O$36,0)+IFERROR($E$37*$O$37,0)+IFERROR($E$38*$O$38,0)+IFERROR($E$39*$O$39,0)+IFERROR($E$40*$O$40,0)+IFERROR(VLOOKUP(E45,Tables!O33:P43,2,FALSE),0)</f>
        <v>0</v>
      </c>
      <c r="L52" s="36">
        <f>ROUNDUP(K52/3,0)</f>
        <v>0</v>
      </c>
      <c r="M52" s="96">
        <f>ROUNDUP(K52/2,0)</f>
        <v>0</v>
      </c>
      <c r="O52" s="141">
        <f>IFERROR(ROUNDUP(P52/SUM(K47,P47,K52,P52,VLOOKUP(Q43,Tables!$O$16:$P$17,2,FALSE)),2),0)</f>
        <v>0</v>
      </c>
      <c r="P52" s="35">
        <f>IFERROR($F$6*$O$6,0)+IFERROR($F$7*$O$7,0)+IFERROR($F$8*$O$8,0)+IFERROR($F$9*$O$9,0)+IFERROR($F$10*$O$10,0)+IFERROR($F$11*$O$11,0)+IFERROR($F$12*$O$12,0)+IFERROR($F$13*$O$13,0)+IFERROR($F$14*$O$14,0)+IFERROR($F$15*$O$15,0)+IFERROR($F$16*$O$16,0)+IFERROR($F$17*$O$17,0)+IFERROR($F$18*$O$18,0)+IFERROR($F$19*$O$19,0)+IFERROR($F$20*$O$20,0)+IFERROR($F$21*$O$21,0)+IFERROR($F$22*$O$22,0)+IFERROR($F$23*$O$23,0)+IFERROR($F$24*$O$24,0)+IFERROR($F$25*$O$25,0)+IFERROR($F$26*$O$26,0)+IFERROR($F$27*$O$27,0)+IFERROR($F$28*$O$28,0)+IFERROR($F$29*$O$29,0)+IFERROR($F$30*$O$30,0)+IFERROR($F$31*$O$31,0)+IFERROR($F$32*$O$32,0)+IFERROR($F$33*$O$33,0)+IFERROR($F$34*$O$34,0)+IFERROR($F$35*$O$35,0)+IFERROR($F$36*$O$36,0)+IFERROR($F$37*$O$37,0)+IFERROR($F$38*$O$38,0)+IFERROR($F$39*$O$39,0)+IFERROR($F$40*$O$40,0)+IFERROR(VLOOKUP(E46,Tables!O33:P43,2,FALSE),0)</f>
        <v>0</v>
      </c>
      <c r="Q52" s="36">
        <f>ROUNDUP(P52/3,0)</f>
        <v>0</v>
      </c>
      <c r="R52" s="96">
        <f>ROUNDUP(P52/2,0)</f>
        <v>0</v>
      </c>
      <c r="S52" s="42"/>
      <c r="T52" s="119"/>
      <c r="U52" s="85"/>
    </row>
    <row r="53" spans="2:21" ht="18">
      <c r="B53" s="85"/>
      <c r="C53" s="41"/>
      <c r="D53" s="186"/>
      <c r="E53" s="187"/>
      <c r="F53" s="187"/>
      <c r="G53" s="187"/>
      <c r="H53" s="188"/>
      <c r="I53" s="33"/>
      <c r="J53" s="101" t="s">
        <v>67</v>
      </c>
      <c r="K53" s="158">
        <f>IFERROR($E$6*$S$6,0)+IFERROR($E$7*$S$7,0)+IFERROR($E$8*$S$8,0)+IFERROR($E$9*$S$9,0)+IFERROR($E$10*$S$10,0)+IFERROR($E$11*$S$11,0)+IFERROR($E$12*$S$12,0)+IFERROR($E$13*$S$13,0)+IFERROR($E$14*$S$14,0)+IFERROR($E$15*$S$15,0)+IFERROR($E$16*$S$16,0)+IFERROR($E$17*$S$17,0)+IFERROR($E$18*$S$18,0)+IFERROR($E$19*$S$19,0)+IFERROR($E$20*$S$20,0)+IFERROR($E$21*$S$21,0)+IFERROR($E$22*$S$22,0)+IFERROR($E$23*$S$23,0)+IFERROR($E$24*$S$24,0)+IFERROR($E$25*$S$25,0)+IFERROR($E$26*$S$26,0)+IFERROR($E$27*$S$27,0)+IFERROR($E$28*$S$28,0)+IFERROR($E$29*$S$29,0)+IFERROR($E$30*$S$30,0)+IFERROR($E$31*$S$31,0)+IFERROR($E$32*$S$32,0)+IFERROR($E$33*$S$33,0)+IFERROR($E$34*$S$34,0)+IFERROR($E$35*$S$35,0)+IFERROR($E$36*$S$36,0)+IFERROR($E$37*$S$37,0)+IFERROR($E$38*$S$38,0)+IFERROR($E$39*$S$39,0)+IFERROR($E$40*$S$40,0) +IFERROR(VLOOKUP(E45,Tables!L33:M43,2,FALSE),0)+IFERROR(VLOOKUP(G45,Tables!R33:S37,2,FALSE),0)</f>
        <v>0</v>
      </c>
      <c r="L53" s="159"/>
      <c r="M53" s="160"/>
      <c r="N53" s="33"/>
      <c r="O53" s="101" t="s">
        <v>67</v>
      </c>
      <c r="P53" s="158">
        <f>IFERROR($F$6*$S$6,0)+IFERROR($F$7*$S$7,0)+IFERROR($F$8*$S$8,0)+IFERROR($F$9*$S$9,0)+IFERROR($F$10*$S$10,0)+IFERROR($F$11*$S$11,0)+IFERROR($F$12*$S$12,0)+IFERROR($F$13*$S$13,0)+IFERROR($F$14*$S$14,0)+IFERROR($F$15*$S$15,0)+IFERROR($F$16*$S$16,0)+IFERROR($F$17*$S$17,0)+IFERROR($F$18*$S$18,0)+IFERROR($F$19*$S$19,0)+IFERROR($F$20*$S$20,0)+IFERROR($F$21*$S$21,0)+IFERROR($F$22*$S$22,0)+IFERROR($F$23*$S$23,0)+IFERROR($F$24*$S$24,0)+IFERROR($F$25*$S$25,0)+IFERROR($F$26*$S$26,0)+IFERROR($F$27*$S$27,0)+IFERROR($F$28*$S$28,0)+IFERROR($F$29*$S$29,0)+IFERROR($F$30*$S$30,0)+IFERROR($F$31*$S$31,0)+IFERROR($F$32*$S$32,0)+IFERROR($F$33*$S$33,0)+IFERROR($F$34*$S$34,0)+IFERROR($F$35*$S$35,0)+IFERROR($F$36*$S$36,0)+IFERROR($F$37*$S$37,0)+IFERROR($F$38*$S$38,0)+IFERROR($F$39*$S$39,0)+IFERROR($F$40*$S$40,0) +IFERROR(VLOOKUP(E46,Tables!L33:M43,2,FALSE),0)+IFERROR(VLOOKUP(G46,Tables!R33:S37,2,FALSE),0)</f>
        <v>0</v>
      </c>
      <c r="Q53" s="159"/>
      <c r="R53" s="160"/>
      <c r="S53" s="42"/>
      <c r="T53" s="119"/>
      <c r="U53" s="85"/>
    </row>
    <row r="54" spans="2:21" ht="13.8">
      <c r="B54" s="85"/>
      <c r="C54" s="41"/>
      <c r="D54" s="186"/>
      <c r="E54" s="187"/>
      <c r="F54" s="187"/>
      <c r="G54" s="187"/>
      <c r="H54" s="188"/>
      <c r="N54" s="33"/>
      <c r="S54" s="42"/>
      <c r="T54" s="119"/>
      <c r="U54" s="85"/>
    </row>
    <row r="55" spans="2:21" ht="18">
      <c r="B55" s="85"/>
      <c r="C55" s="41"/>
      <c r="D55" s="186"/>
      <c r="E55" s="187"/>
      <c r="F55" s="187"/>
      <c r="G55" s="187"/>
      <c r="H55" s="188"/>
      <c r="N55" s="33"/>
      <c r="O55" s="164" t="s">
        <v>70</v>
      </c>
      <c r="P55" s="165"/>
      <c r="Q55" s="165"/>
      <c r="R55" s="165"/>
      <c r="S55" s="42"/>
      <c r="T55" s="119"/>
      <c r="U55" s="85"/>
    </row>
    <row r="56" spans="2:21" ht="13.8">
      <c r="B56" s="85"/>
      <c r="C56" s="41"/>
      <c r="D56" s="186"/>
      <c r="E56" s="187"/>
      <c r="F56" s="187"/>
      <c r="G56" s="187"/>
      <c r="H56" s="188"/>
      <c r="O56" s="97"/>
      <c r="P56" s="99" t="s">
        <v>72</v>
      </c>
      <c r="Q56" s="166" t="s">
        <v>145</v>
      </c>
      <c r="R56" s="167"/>
      <c r="S56" s="42"/>
      <c r="T56" s="119"/>
      <c r="U56" s="85"/>
    </row>
    <row r="57" spans="2:21" ht="15.6">
      <c r="B57" s="85"/>
      <c r="C57" s="41"/>
      <c r="D57" s="210" t="s">
        <v>165</v>
      </c>
      <c r="E57" s="211"/>
      <c r="F57" s="207">
        <f>IFERROR(VLOOKUP(D49,Tables!M48:N65,2,FALSE),0)+IFERROR(VLOOKUP(D50,Tables!M48:N65,2,FALSE),0)+IFERROR(VLOOKUP(D51,Tables!M48:N65,2,FALSE),0)+IFERROR(VLOOKUP(D52,Tables!M48:N65,2,FALSE),0)+IFERROR(VLOOKUP(D53,Tables!M48:N65,2,FALSE),0)+IFERROR(VLOOKUP(D54,Tables!M48:N65,2,FALSE),0)+IFERROR(VLOOKUP(D55,Tables!M48:N65,2,FALSE),0)+IFERROR(VLOOKUP(D56,Tables!M48:N65,2,FALSE),0)</f>
        <v>0</v>
      </c>
      <c r="G57" s="208"/>
      <c r="H57" s="209"/>
      <c r="J57" s="170" t="s">
        <v>190</v>
      </c>
      <c r="K57" s="171"/>
      <c r="L57" s="168"/>
      <c r="M57" s="169"/>
      <c r="O57" s="97"/>
      <c r="P57" s="98">
        <f>IFERROR(SUM(K47,P47,K52,P52)+VLOOKUP(Q43,Tables!$O$16:$P$17,2,FALSE),0)</f>
        <v>0</v>
      </c>
      <c r="Q57" s="172">
        <f>ROUNDUP(P57/2,0)</f>
        <v>0</v>
      </c>
      <c r="R57" s="173"/>
      <c r="S57" s="42"/>
      <c r="T57" s="119"/>
      <c r="U57" s="85"/>
    </row>
    <row r="58" spans="2:21" ht="18">
      <c r="B58" s="85"/>
      <c r="C58" s="41"/>
      <c r="O58" s="100" t="s">
        <v>67</v>
      </c>
      <c r="P58" s="155">
        <f>IFERROR(SUM(K48,P48,K53,P53)+IFERROR(VLOOKUP(M43,Tables!$E$33:$F$36,2,FALSE),0)+L57+F57+IF(Q43="Fortified",5,0),0)</f>
        <v>0</v>
      </c>
      <c r="Q58" s="156"/>
      <c r="R58" s="157"/>
      <c r="S58" s="42"/>
      <c r="T58" s="119"/>
      <c r="U58" s="85"/>
    </row>
    <row r="59" spans="2:21" ht="14.4" thickBot="1">
      <c r="B59" s="85"/>
      <c r="C59" s="41"/>
      <c r="N59" s="33"/>
      <c r="S59" s="42"/>
      <c r="T59" s="119"/>
      <c r="U59" s="85"/>
    </row>
    <row r="60" spans="2:21" ht="21" customHeight="1" thickBot="1">
      <c r="B60" s="85"/>
      <c r="C60" s="197" t="s">
        <v>311</v>
      </c>
      <c r="D60" s="197"/>
      <c r="E60" s="197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5" t="s">
        <v>312</v>
      </c>
      <c r="S60" s="196"/>
      <c r="T60" s="119"/>
      <c r="U60" s="85"/>
    </row>
    <row r="61" spans="2:21" ht="11.25" customHeight="1">
      <c r="B61" s="85"/>
      <c r="C61" s="88"/>
      <c r="D61" s="85"/>
      <c r="E61" s="85"/>
      <c r="F61" s="85"/>
      <c r="G61" s="86"/>
      <c r="H61" s="86"/>
      <c r="I61" s="86"/>
      <c r="J61" s="86"/>
      <c r="K61" s="86"/>
      <c r="L61" s="86"/>
      <c r="M61" s="87"/>
      <c r="N61" s="85"/>
      <c r="O61" s="85"/>
      <c r="P61" s="85"/>
      <c r="Q61" s="85"/>
      <c r="R61" s="85"/>
      <c r="S61" s="85"/>
      <c r="T61" s="85"/>
      <c r="U61" s="85"/>
    </row>
    <row r="62" spans="2:21" ht="15.6" hidden="1">
      <c r="C62" s="47"/>
      <c r="D62" s="47"/>
      <c r="E62" s="47"/>
      <c r="F62" s="47"/>
      <c r="G62" s="48"/>
      <c r="I62" s="46"/>
      <c r="J62" s="46"/>
      <c r="K62" s="46"/>
      <c r="L62" s="46"/>
      <c r="M62" s="46"/>
      <c r="N62" s="49"/>
    </row>
    <row r="63" spans="2:21" ht="13.8" hidden="1"/>
    <row r="64" spans="2:21" ht="13.8" hidden="1"/>
    <row r="65" ht="13.8" hidden="1"/>
    <row r="66" ht="13.8" hidden="1"/>
    <row r="67" ht="13.8" hidden="1"/>
    <row r="68" ht="13.8" hidden="1"/>
    <row r="69" ht="13.8" hidden="1"/>
    <row r="70" ht="13.8" hidden="1"/>
    <row r="71" ht="13.8" hidden="1"/>
    <row r="72" ht="13.8" hidden="1"/>
    <row r="73" ht="13.8" hidden="1"/>
    <row r="74" ht="13.8" hidden="1"/>
    <row r="75" ht="13.8" hidden="1"/>
    <row r="76" ht="13.8" hidden="1"/>
    <row r="77" ht="13.8" hidden="1"/>
    <row r="78" ht="13.8" hidden="1"/>
    <row r="79" ht="13.8" hidden="1"/>
    <row r="80" ht="13.8" hidden="1"/>
    <row r="81" ht="13.8" hidden="1"/>
    <row r="82" ht="13.8" hidden="1"/>
    <row r="83" ht="13.8" hidden="1"/>
    <row r="84" ht="13.8" hidden="1"/>
    <row r="85" ht="13.8" hidden="1"/>
    <row r="86" ht="13.8" hidden="1"/>
    <row r="87" ht="13.8" hidden="1"/>
    <row r="88" ht="17.100000000000001" hidden="1" customHeight="1"/>
    <row r="89" ht="17.100000000000001" hidden="1" customHeight="1"/>
    <row r="90" ht="17.100000000000001" hidden="1" customHeight="1"/>
  </sheetData>
  <sheetProtection sheet="1" selectLockedCells="1" autoFilter="0"/>
  <autoFilter ref="T5:T40" xr:uid="{00000000-0009-0000-0000-000000000000}"/>
  <mergeCells count="85">
    <mergeCell ref="C2:S2"/>
    <mergeCell ref="R60:S60"/>
    <mergeCell ref="C60:E60"/>
    <mergeCell ref="F60:Q60"/>
    <mergeCell ref="O3:S3"/>
    <mergeCell ref="E3:M3"/>
    <mergeCell ref="C3:D3"/>
    <mergeCell ref="D56:H56"/>
    <mergeCell ref="F57:H57"/>
    <mergeCell ref="D51:H51"/>
    <mergeCell ref="D52:H52"/>
    <mergeCell ref="D53:H53"/>
    <mergeCell ref="D54:H54"/>
    <mergeCell ref="D55:H55"/>
    <mergeCell ref="D57:E57"/>
    <mergeCell ref="D48:H48"/>
    <mergeCell ref="D49:H49"/>
    <mergeCell ref="D50:H50"/>
    <mergeCell ref="G43:H43"/>
    <mergeCell ref="G44:H44"/>
    <mergeCell ref="G45:H45"/>
    <mergeCell ref="G46:H46"/>
    <mergeCell ref="E43:F43"/>
    <mergeCell ref="E44:F44"/>
    <mergeCell ref="E45:F45"/>
    <mergeCell ref="E46:F46"/>
    <mergeCell ref="O45:R45"/>
    <mergeCell ref="J45:M45"/>
    <mergeCell ref="Q42:R42"/>
    <mergeCell ref="Q43:R43"/>
    <mergeCell ref="I11:J11"/>
    <mergeCell ref="I12:J12"/>
    <mergeCell ref="I13:J13"/>
    <mergeCell ref="I14:J14"/>
    <mergeCell ref="I15:J15"/>
    <mergeCell ref="I16:J16"/>
    <mergeCell ref="I17:J17"/>
    <mergeCell ref="I18:J18"/>
    <mergeCell ref="M43:O43"/>
    <mergeCell ref="M42:O42"/>
    <mergeCell ref="I31:J31"/>
    <mergeCell ref="I20:J20"/>
    <mergeCell ref="I6:J6"/>
    <mergeCell ref="I32:J32"/>
    <mergeCell ref="E42:F42"/>
    <mergeCell ref="G42:H42"/>
    <mergeCell ref="I7:J7"/>
    <mergeCell ref="I8:J8"/>
    <mergeCell ref="I9:J9"/>
    <mergeCell ref="I10:J10"/>
    <mergeCell ref="I22:J22"/>
    <mergeCell ref="I19:J19"/>
    <mergeCell ref="I40:J40"/>
    <mergeCell ref="I35:J35"/>
    <mergeCell ref="I34:J34"/>
    <mergeCell ref="I27:J27"/>
    <mergeCell ref="I26:J26"/>
    <mergeCell ref="I33:J33"/>
    <mergeCell ref="C4:F4"/>
    <mergeCell ref="G4:H4"/>
    <mergeCell ref="I4:J4"/>
    <mergeCell ref="I5:J5"/>
    <mergeCell ref="P58:R58"/>
    <mergeCell ref="K48:M48"/>
    <mergeCell ref="P48:R48"/>
    <mergeCell ref="P53:R53"/>
    <mergeCell ref="J50:M50"/>
    <mergeCell ref="O50:R50"/>
    <mergeCell ref="K53:M53"/>
    <mergeCell ref="O55:R55"/>
    <mergeCell ref="Q56:R56"/>
    <mergeCell ref="L57:M57"/>
    <mergeCell ref="J57:K57"/>
    <mergeCell ref="Q57:R57"/>
    <mergeCell ref="I21:J21"/>
    <mergeCell ref="I39:J39"/>
    <mergeCell ref="I25:J25"/>
    <mergeCell ref="I24:J24"/>
    <mergeCell ref="I23:J23"/>
    <mergeCell ref="I38:J38"/>
    <mergeCell ref="I37:J37"/>
    <mergeCell ref="I36:J36"/>
    <mergeCell ref="I30:J30"/>
    <mergeCell ref="I29:J29"/>
    <mergeCell ref="I28:J28"/>
  </mergeCells>
  <conditionalFormatting sqref="F57">
    <cfRule type="cellIs" dxfId="8" priority="5" operator="greaterThan">
      <formula>0.06*$P$58</formula>
    </cfRule>
  </conditionalFormatting>
  <conditionalFormatting sqref="J47 O47 J52 O52">
    <cfRule type="cellIs" dxfId="7" priority="2" operator="greaterThan">
      <formula>0.7</formula>
    </cfRule>
  </conditionalFormatting>
  <conditionalFormatting sqref="L6:L40">
    <cfRule type="expression" dxfId="6" priority="1">
      <formula>AND(L6&gt;4,OR(R6=2,R6="2-"))</formula>
    </cfRule>
  </conditionalFormatting>
  <dataValidations count="14">
    <dataValidation type="list" allowBlank="1" showInputMessage="1" showErrorMessage="1" sqref="O3" xr:uid="{00000000-0002-0000-0000-000000000000}">
      <formula1>VOLUME</formula1>
    </dataValidation>
    <dataValidation type="list" showInputMessage="1" showErrorMessage="1" sqref="P6:P40" xr:uid="{00000000-0002-0000-0000-000001000000}">
      <formula1>Weapon</formula1>
    </dataValidation>
    <dataValidation type="list" showInputMessage="1" showErrorMessage="1" sqref="R6:R40" xr:uid="{00000000-0002-0000-0000-000002000000}">
      <formula1>LargeUnit</formula1>
    </dataValidation>
    <dataValidation type="list" showInputMessage="1" showErrorMessage="1" sqref="Q6:Q40" xr:uid="{00000000-0002-0000-0000-000003000000}">
      <formula1>Special</formula1>
    </dataValidation>
    <dataValidation type="list" showInputMessage="1" showErrorMessage="1" sqref="N6:N40" xr:uid="{00000000-0002-0000-0000-000004000000}">
      <formula1>Discipline</formula1>
    </dataValidation>
    <dataValidation type="list" showInputMessage="1" showErrorMessage="1" sqref="M6:M40" xr:uid="{00000000-0002-0000-0000-000005000000}">
      <formula1>IMPETUS</formula1>
    </dataValidation>
    <dataValidation type="list" showInputMessage="1" showErrorMessage="1" sqref="L6:L40" xr:uid="{00000000-0002-0000-0000-000006000000}">
      <formula1>VBU</formula1>
    </dataValidation>
    <dataValidation type="list" showInputMessage="1" showErrorMessage="1" sqref="K6:K40" xr:uid="{00000000-0002-0000-0000-000007000000}">
      <formula1>Type</formula1>
    </dataValidation>
    <dataValidation type="list" allowBlank="1" showInputMessage="1" showErrorMessage="1" sqref="E43:E46" xr:uid="{00000000-0002-0000-0000-000008000000}">
      <formula1>General_Name</formula1>
    </dataValidation>
    <dataValidation type="list" allowBlank="1" showErrorMessage="1" sqref="M43" xr:uid="{00000000-0002-0000-0000-000009000000}">
      <formula1>CS_Name</formula1>
    </dataValidation>
    <dataValidation type="list" allowBlank="1" showInputMessage="1" showErrorMessage="1" sqref="L57:M57" xr:uid="{00000000-0002-0000-0000-00000A000000}">
      <formula1>Explore</formula1>
    </dataValidation>
    <dataValidation type="list" allowBlank="1" showErrorMessage="1" sqref="Q43:R43" xr:uid="{00000000-0002-0000-0000-00000B000000}">
      <formula1>Baggage</formula1>
    </dataValidation>
    <dataValidation type="list" allowBlank="1" showInputMessage="1" showErrorMessage="1" sqref="G43:G46" xr:uid="{00000000-0002-0000-0000-00000C000000}">
      <formula1>General_Ability</formula1>
    </dataValidation>
    <dataValidation type="list" allowBlank="1" showInputMessage="1" showErrorMessage="1" sqref="D49:D56" xr:uid="{00000000-0002-0000-0000-00000D000000}">
      <formula1>Card</formula1>
    </dataValidation>
  </dataValidations>
  <printOptions horizontalCentered="1" verticalCentered="1"/>
  <pageMargins left="0" right="0" top="0" bottom="0" header="0" footer="0"/>
  <pageSetup paperSize="9" scale="58" firstPageNumber="0" orientation="landscape" horizontalDpi="4294967294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7" r:id="rId4" name="Check Box 13">
              <controlPr defaultSize="0" autoFill="0" autoLine="0" autoPict="0">
                <anchor moveWithCells="1">
                  <from>
                    <xdr:col>10</xdr:col>
                    <xdr:colOff>541020</xdr:colOff>
                    <xdr:row>40</xdr:row>
                    <xdr:rowOff>7620</xdr:rowOff>
                  </from>
                  <to>
                    <xdr:col>11</xdr:col>
                    <xdr:colOff>30480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5" name="Check Box 14">
              <controlPr defaultSize="0" autoFill="0" autoLine="0" autoPict="0">
                <anchor moveWithCells="1">
                  <from>
                    <xdr:col>10</xdr:col>
                    <xdr:colOff>541020</xdr:colOff>
                    <xdr:row>41</xdr:row>
                    <xdr:rowOff>38100</xdr:rowOff>
                  </from>
                  <to>
                    <xdr:col>11</xdr:col>
                    <xdr:colOff>45720</xdr:colOff>
                    <xdr:row>42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6" name="Check Box 15">
              <controlPr defaultSize="0" autoFill="0" autoLine="0" autoPict="0">
                <anchor moveWithCells="1">
                  <from>
                    <xdr:col>10</xdr:col>
                    <xdr:colOff>541020</xdr:colOff>
                    <xdr:row>42</xdr:row>
                    <xdr:rowOff>22860</xdr:rowOff>
                  </from>
                  <to>
                    <xdr:col>11</xdr:col>
                    <xdr:colOff>45720</xdr:colOff>
                    <xdr:row>43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M90"/>
  <sheetViews>
    <sheetView topLeftCell="A19" zoomScale="80" zoomScaleNormal="80" workbookViewId="0">
      <selection activeCell="G36" sqref="G36"/>
    </sheetView>
  </sheetViews>
  <sheetFormatPr defaultColWidth="0" defaultRowHeight="0" customHeight="1" zeroHeight="1"/>
  <cols>
    <col min="1" max="1" width="4.44140625" style="46" customWidth="1"/>
    <col min="2" max="2" width="2.109375" style="46" customWidth="1"/>
    <col min="3" max="3" width="7" style="46" customWidth="1"/>
    <col min="4" max="5" width="7.33203125" style="46" customWidth="1"/>
    <col min="6" max="6" width="6.88671875" style="46" customWidth="1"/>
    <col min="7" max="7" width="7.33203125" style="47" customWidth="1"/>
    <col min="8" max="8" width="7.109375" style="47" customWidth="1"/>
    <col min="9" max="9" width="38.44140625" style="47" customWidth="1"/>
    <col min="10" max="10" width="10.33203125" style="47" customWidth="1"/>
    <col min="11" max="11" width="15.5546875" style="47" customWidth="1"/>
    <col min="12" max="12" width="7.33203125" style="47" bestFit="1" customWidth="1"/>
    <col min="13" max="13" width="6.33203125" style="50" customWidth="1"/>
    <col min="14" max="14" width="6.33203125" style="46" bestFit="1" customWidth="1"/>
    <col min="15" max="15" width="10.33203125" style="46" customWidth="1"/>
    <col min="16" max="16" width="15.5546875" style="46" customWidth="1"/>
    <col min="17" max="17" width="12.109375" style="46" customWidth="1"/>
    <col min="18" max="18" width="7.88671875" style="46" customWidth="1"/>
    <col min="19" max="19" width="10.88671875" style="46" customWidth="1"/>
    <col min="20" max="20" width="2" style="46" customWidth="1"/>
    <col min="21" max="21" width="2.109375" style="46" customWidth="1"/>
    <col min="22" max="39" width="0" style="46" hidden="1" customWidth="1"/>
    <col min="40" max="16384" width="9.109375" style="46" hidden="1"/>
  </cols>
  <sheetData>
    <row r="1" spans="2:21" ht="10.5" customHeight="1" thickBot="1">
      <c r="B1" s="85"/>
      <c r="C1" s="85"/>
      <c r="D1" s="85"/>
      <c r="E1" s="85"/>
      <c r="F1" s="85"/>
      <c r="G1" s="86"/>
      <c r="H1" s="86"/>
      <c r="I1" s="86"/>
      <c r="J1" s="86"/>
      <c r="K1" s="86"/>
      <c r="L1" s="86"/>
      <c r="M1" s="87"/>
      <c r="N1" s="85"/>
      <c r="O1" s="85"/>
      <c r="P1" s="85"/>
      <c r="Q1" s="85"/>
      <c r="R1" s="85"/>
      <c r="S1" s="85"/>
      <c r="T1" s="85"/>
      <c r="U1" s="85"/>
    </row>
    <row r="2" spans="2:21" ht="45.6" thickBot="1">
      <c r="B2" s="85"/>
      <c r="C2" s="193" t="s">
        <v>257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4"/>
      <c r="T2" s="119"/>
      <c r="U2" s="85"/>
    </row>
    <row r="3" spans="2:21" ht="25.8" thickBot="1">
      <c r="B3" s="85"/>
      <c r="C3" s="205" t="s">
        <v>71</v>
      </c>
      <c r="D3" s="206"/>
      <c r="E3" s="202" t="s">
        <v>259</v>
      </c>
      <c r="F3" s="203"/>
      <c r="G3" s="203"/>
      <c r="H3" s="203"/>
      <c r="I3" s="203"/>
      <c r="J3" s="203"/>
      <c r="K3" s="203"/>
      <c r="L3" s="203"/>
      <c r="M3" s="204"/>
      <c r="N3" s="116" t="s">
        <v>178</v>
      </c>
      <c r="O3" s="199" t="s">
        <v>247</v>
      </c>
      <c r="P3" s="200"/>
      <c r="Q3" s="200"/>
      <c r="R3" s="200"/>
      <c r="S3" s="201"/>
      <c r="T3" s="119"/>
      <c r="U3" s="85"/>
    </row>
    <row r="4" spans="2:21" ht="15.6">
      <c r="B4" s="85"/>
      <c r="C4" s="146" t="s">
        <v>0</v>
      </c>
      <c r="D4" s="147"/>
      <c r="E4" s="147"/>
      <c r="F4" s="148"/>
      <c r="G4" s="149"/>
      <c r="H4" s="150"/>
      <c r="I4" s="151"/>
      <c r="J4" s="152"/>
      <c r="K4" s="102"/>
      <c r="L4" s="102"/>
      <c r="M4" s="103"/>
      <c r="N4" s="102"/>
      <c r="O4" s="102"/>
      <c r="P4" s="102"/>
      <c r="Q4" s="102"/>
      <c r="R4" s="102"/>
      <c r="S4" s="104" t="s">
        <v>11</v>
      </c>
      <c r="T4" s="105"/>
      <c r="U4" s="85"/>
    </row>
    <row r="5" spans="2:21" ht="14.4" thickBot="1">
      <c r="B5" s="85"/>
      <c r="C5" s="106" t="s">
        <v>1</v>
      </c>
      <c r="D5" s="107" t="s">
        <v>2</v>
      </c>
      <c r="E5" s="107" t="s">
        <v>3</v>
      </c>
      <c r="F5" s="108" t="s">
        <v>4</v>
      </c>
      <c r="G5" s="110" t="s">
        <v>61</v>
      </c>
      <c r="H5" s="109" t="s">
        <v>62</v>
      </c>
      <c r="I5" s="153" t="s">
        <v>24</v>
      </c>
      <c r="J5" s="154"/>
      <c r="K5" s="111" t="s">
        <v>5</v>
      </c>
      <c r="L5" s="111" t="s">
        <v>7</v>
      </c>
      <c r="M5" s="112" t="s">
        <v>8</v>
      </c>
      <c r="N5" s="111" t="s">
        <v>9</v>
      </c>
      <c r="O5" s="111" t="s">
        <v>10</v>
      </c>
      <c r="P5" s="111" t="s">
        <v>25</v>
      </c>
      <c r="Q5" s="113" t="s">
        <v>64</v>
      </c>
      <c r="R5" s="113" t="s">
        <v>140</v>
      </c>
      <c r="S5" s="114"/>
      <c r="T5" s="115"/>
      <c r="U5" s="85"/>
    </row>
    <row r="6" spans="2:21" ht="15.6">
      <c r="B6" s="85"/>
      <c r="C6" s="61"/>
      <c r="D6" s="62"/>
      <c r="E6" s="63"/>
      <c r="F6" s="64"/>
      <c r="G6" s="51">
        <v>0</v>
      </c>
      <c r="H6" s="52">
        <v>2</v>
      </c>
      <c r="I6" s="144" t="s">
        <v>260</v>
      </c>
      <c r="J6" s="145" t="s">
        <v>260</v>
      </c>
      <c r="K6" s="27" t="s">
        <v>43</v>
      </c>
      <c r="L6" s="71">
        <v>5</v>
      </c>
      <c r="M6" s="71">
        <v>2</v>
      </c>
      <c r="N6" s="27" t="s">
        <v>12</v>
      </c>
      <c r="O6" s="27">
        <v>2</v>
      </c>
      <c r="P6" s="28"/>
      <c r="Q6" s="29"/>
      <c r="R6" s="29"/>
      <c r="S6" s="117">
        <f>IFERROR(IF(K6="FOR",5,IF(K6="ART",VLOOKUP(P6,Tables!$L$3:$M$29,2,FALSE)+IF(Q6="",0,VLOOKUP(Q6,Tables!$B$33:$C$40,2,FALSE)),IF(R6="2-",ROUNDUP(0.75*(VLOOKUP(K6,Tables!$E$3:$F$18,2,FALSE)+VLOOKUP(L6,Tables!$O$3:$P$10,2,FALSE)+VLOOKUP(M6,Tables!$R$3:$S$9,2,FALSE)+IF(N6="",0,VLOOKUP(N6,Tables!$B$3:$C$5,2,FALSE))+IF(P6="",0,VLOOKUP(P6,Tables!$L$3:$M$29,2,FALSE))+IF(Q6="",0,VLOOKUP(Q6,Tables!$B$33:$C$40,2,FALSE))),0),VLOOKUP(K6,Tables!$E$3:$F$18,2,FALSE)+VLOOKUP(L6,Tables!$O$3:$P$10,2,FALSE)+VLOOKUP(M6,Tables!$R$3:$S$9,2,FALSE)+IF(N6="",0,VLOOKUP(N6,Tables!$B$3:$C$5,2,FALSE))+IF(P6="",0,VLOOKUP(P6,Tables!$L$3:$M$29,2,FALSE))+IF(Q6="",0,VLOOKUP(Q6,Tables!$B$33:$C$40,2,FALSE))))),"")</f>
        <v>23</v>
      </c>
      <c r="T6" s="118" t="str">
        <f>IF(AND(C6="",D6="",E6="",F6=""),"","Y")</f>
        <v/>
      </c>
      <c r="U6" s="85"/>
    </row>
    <row r="7" spans="2:21" ht="15.6">
      <c r="B7" s="85"/>
      <c r="C7" s="65">
        <v>1</v>
      </c>
      <c r="D7" s="59"/>
      <c r="E7" s="60"/>
      <c r="F7" s="66"/>
      <c r="G7" s="51" t="s">
        <v>284</v>
      </c>
      <c r="H7" s="52" t="s">
        <v>285</v>
      </c>
      <c r="I7" s="144" t="s">
        <v>260</v>
      </c>
      <c r="J7" s="145" t="s">
        <v>260</v>
      </c>
      <c r="K7" s="27" t="s">
        <v>43</v>
      </c>
      <c r="L7" s="71">
        <v>6</v>
      </c>
      <c r="M7" s="71">
        <v>2</v>
      </c>
      <c r="N7" s="27" t="s">
        <v>12</v>
      </c>
      <c r="O7" s="27">
        <v>3</v>
      </c>
      <c r="P7" s="28"/>
      <c r="Q7" s="29"/>
      <c r="R7" s="29"/>
      <c r="S7" s="117">
        <f>IFERROR(IF(K7="FOR",5,IF(K7="ART",VLOOKUP(P7,Tables!$L$3:$M$29,2,FALSE)+IF(Q7="",0,VLOOKUP(Q7,Tables!$B$33:$C$40,2,FALSE)),IF(R7="2-",ROUNDUP(0.75*(VLOOKUP(K7,Tables!$E$3:$F$18,2,FALSE)+VLOOKUP(L7,Tables!$O$3:$P$10,2,FALSE)+VLOOKUP(M7,Tables!$R$3:$S$9,2,FALSE)+IF(N7="",0,VLOOKUP(N7,Tables!$B$3:$C$5,2,FALSE))+IF(P7="",0,VLOOKUP(P7,Tables!$L$3:$M$29,2,FALSE))+IF(Q7="",0,VLOOKUP(Q7,Tables!$B$33:$C$40,2,FALSE))),0),VLOOKUP(K7,Tables!$E$3:$F$18,2,FALSE)+VLOOKUP(L7,Tables!$O$3:$P$10,2,FALSE)+VLOOKUP(M7,Tables!$R$3:$S$9,2,FALSE)+IF(N7="",0,VLOOKUP(N7,Tables!$B$3:$C$5,2,FALSE))+IF(P7="",0,VLOOKUP(P7,Tables!$L$3:$M$29,2,FALSE))+IF(Q7="",0,VLOOKUP(Q7,Tables!$B$33:$C$40,2,FALSE))))),"")</f>
        <v>29</v>
      </c>
      <c r="T7" s="118" t="str">
        <f t="shared" ref="T7:T40" si="0">IF(AND(C7="",D7="",E7="",F7=""),"","Y")</f>
        <v>Y</v>
      </c>
      <c r="U7" s="85"/>
    </row>
    <row r="8" spans="2:21" ht="15.6">
      <c r="B8" s="85"/>
      <c r="C8" s="65">
        <v>2</v>
      </c>
      <c r="D8" s="59"/>
      <c r="E8" s="60"/>
      <c r="F8" s="66"/>
      <c r="G8" s="51">
        <v>2</v>
      </c>
      <c r="H8" s="52">
        <v>6</v>
      </c>
      <c r="I8" s="144" t="s">
        <v>261</v>
      </c>
      <c r="J8" s="145" t="s">
        <v>261</v>
      </c>
      <c r="K8" s="27" t="s">
        <v>43</v>
      </c>
      <c r="L8" s="71">
        <v>5</v>
      </c>
      <c r="M8" s="71">
        <v>2</v>
      </c>
      <c r="N8" s="27" t="s">
        <v>12</v>
      </c>
      <c r="O8" s="27">
        <v>2</v>
      </c>
      <c r="P8" s="28"/>
      <c r="Q8" s="29"/>
      <c r="R8" s="29"/>
      <c r="S8" s="117">
        <f>IFERROR(IF(K8="FOR",5,IF(K8="ART",VLOOKUP(P8,Tables!$L$3:$M$29,2,FALSE)+IF(Q8="",0,VLOOKUP(Q8,Tables!$B$33:$C$40,2,FALSE)),IF(R8="2-",ROUNDUP(0.75*(VLOOKUP(K8,Tables!$E$3:$F$18,2,FALSE)+VLOOKUP(L8,Tables!$O$3:$P$10,2,FALSE)+VLOOKUP(M8,Tables!$R$3:$S$9,2,FALSE)+IF(N8="",0,VLOOKUP(N8,Tables!$B$3:$C$5,2,FALSE))+IF(P8="",0,VLOOKUP(P8,Tables!$L$3:$M$29,2,FALSE))+IF(Q8="",0,VLOOKUP(Q8,Tables!$B$33:$C$40,2,FALSE))),0),VLOOKUP(K8,Tables!$E$3:$F$18,2,FALSE)+VLOOKUP(L8,Tables!$O$3:$P$10,2,FALSE)+VLOOKUP(M8,Tables!$R$3:$S$9,2,FALSE)+IF(N8="",0,VLOOKUP(N8,Tables!$B$3:$C$5,2,FALSE))+IF(P8="",0,VLOOKUP(P8,Tables!$L$3:$M$29,2,FALSE))+IF(Q8="",0,VLOOKUP(Q8,Tables!$B$33:$C$40,2,FALSE))))),"")</f>
        <v>23</v>
      </c>
      <c r="T8" s="118" t="str">
        <f t="shared" si="0"/>
        <v>Y</v>
      </c>
      <c r="U8" s="85"/>
    </row>
    <row r="9" spans="2:21" ht="15.6">
      <c r="B9" s="85"/>
      <c r="C9" s="65"/>
      <c r="D9" s="59"/>
      <c r="E9" s="60"/>
      <c r="F9" s="66"/>
      <c r="G9" s="51" t="s">
        <v>95</v>
      </c>
      <c r="H9" s="52"/>
      <c r="I9" s="144" t="s">
        <v>262</v>
      </c>
      <c r="J9" s="145" t="s">
        <v>262</v>
      </c>
      <c r="K9" s="27" t="s">
        <v>43</v>
      </c>
      <c r="L9" s="71">
        <v>4</v>
      </c>
      <c r="M9" s="71">
        <v>2</v>
      </c>
      <c r="N9" s="27" t="s">
        <v>12</v>
      </c>
      <c r="O9" s="27">
        <v>1</v>
      </c>
      <c r="P9" s="28"/>
      <c r="Q9" s="29"/>
      <c r="R9" s="29"/>
      <c r="S9" s="117">
        <f>IFERROR(IF(K9="FOR",5,IF(K9="ART",VLOOKUP(P9,Tables!$L$3:$M$29,2,FALSE)+IF(Q9="",0,VLOOKUP(Q9,Tables!$B$33:$C$40,2,FALSE)),IF(R9="2-",ROUNDUP(0.75*(VLOOKUP(K9,Tables!$E$3:$F$18,2,FALSE)+VLOOKUP(L9,Tables!$O$3:$P$10,2,FALSE)+VLOOKUP(M9,Tables!$R$3:$S$9,2,FALSE)+IF(N9="",0,VLOOKUP(N9,Tables!$B$3:$C$5,2,FALSE))+IF(P9="",0,VLOOKUP(P9,Tables!$L$3:$M$29,2,FALSE))+IF(Q9="",0,VLOOKUP(Q9,Tables!$B$33:$C$40,2,FALSE))),0),VLOOKUP(K9,Tables!$E$3:$F$18,2,FALSE)+VLOOKUP(L9,Tables!$O$3:$P$10,2,FALSE)+VLOOKUP(M9,Tables!$R$3:$S$9,2,FALSE)+IF(N9="",0,VLOOKUP(N9,Tables!$B$3:$C$5,2,FALSE))+IF(P9="",0,VLOOKUP(P9,Tables!$L$3:$M$29,2,FALSE))+IF(Q9="",0,VLOOKUP(Q9,Tables!$B$33:$C$40,2,FALSE))))),"")</f>
        <v>18</v>
      </c>
      <c r="T9" s="118" t="str">
        <f t="shared" si="0"/>
        <v/>
      </c>
      <c r="U9" s="85"/>
    </row>
    <row r="10" spans="2:21" ht="15.6">
      <c r="B10" s="85"/>
      <c r="C10" s="65">
        <v>1</v>
      </c>
      <c r="D10" s="59"/>
      <c r="E10" s="60"/>
      <c r="F10" s="66"/>
      <c r="G10" s="51">
        <v>1</v>
      </c>
      <c r="H10" s="52">
        <v>4</v>
      </c>
      <c r="I10" s="144" t="s">
        <v>263</v>
      </c>
      <c r="J10" s="145" t="s">
        <v>263</v>
      </c>
      <c r="K10" s="27" t="s">
        <v>45</v>
      </c>
      <c r="L10" s="71">
        <v>4</v>
      </c>
      <c r="M10" s="71">
        <v>1</v>
      </c>
      <c r="N10" s="27" t="s">
        <v>12</v>
      </c>
      <c r="O10" s="27">
        <v>2</v>
      </c>
      <c r="P10" s="28" t="s">
        <v>44</v>
      </c>
      <c r="Q10" s="29"/>
      <c r="R10" s="29"/>
      <c r="S10" s="117">
        <f>IFERROR(IF(K10="FOR",5,IF(K10="ART",VLOOKUP(P10,Tables!$L$3:$M$29,2,FALSE)+IF(Q10="",0,VLOOKUP(Q10,Tables!$B$33:$C$40,2,FALSE)),IF(R10="2-",ROUNDUP(0.75*(VLOOKUP(K10,Tables!$E$3:$F$18,2,FALSE)+VLOOKUP(L10,Tables!$O$3:$P$10,2,FALSE)+VLOOKUP(M10,Tables!$R$3:$S$9,2,FALSE)+IF(N10="",0,VLOOKUP(N10,Tables!$B$3:$C$5,2,FALSE))+IF(P10="",0,VLOOKUP(P10,Tables!$L$3:$M$29,2,FALSE))+IF(Q10="",0,VLOOKUP(Q10,Tables!$B$33:$C$40,2,FALSE))),0),VLOOKUP(K10,Tables!$E$3:$F$18,2,FALSE)+VLOOKUP(L10,Tables!$O$3:$P$10,2,FALSE)+VLOOKUP(M10,Tables!$R$3:$S$9,2,FALSE)+IF(N10="",0,VLOOKUP(N10,Tables!$B$3:$C$5,2,FALSE))+IF(P10="",0,VLOOKUP(P10,Tables!$L$3:$M$29,2,FALSE))+IF(Q10="",0,VLOOKUP(Q10,Tables!$B$33:$C$40,2,FALSE))))),"")</f>
        <v>22</v>
      </c>
      <c r="T10" s="118" t="str">
        <f t="shared" si="0"/>
        <v>Y</v>
      </c>
      <c r="U10" s="85"/>
    </row>
    <row r="11" spans="2:21" ht="15.6">
      <c r="B11" s="85"/>
      <c r="C11" s="65"/>
      <c r="D11" s="59"/>
      <c r="E11" s="60"/>
      <c r="F11" s="66"/>
      <c r="G11" s="51">
        <v>0</v>
      </c>
      <c r="H11" s="52">
        <v>3</v>
      </c>
      <c r="I11" s="144" t="s">
        <v>264</v>
      </c>
      <c r="J11" s="145" t="s">
        <v>264</v>
      </c>
      <c r="K11" s="27" t="s">
        <v>45</v>
      </c>
      <c r="L11" s="71">
        <v>3</v>
      </c>
      <c r="M11" s="71">
        <v>1</v>
      </c>
      <c r="N11" s="27" t="s">
        <v>12</v>
      </c>
      <c r="O11" s="27">
        <v>1</v>
      </c>
      <c r="P11" s="28" t="s">
        <v>44</v>
      </c>
      <c r="Q11" s="29"/>
      <c r="R11" s="29"/>
      <c r="S11" s="117">
        <f>IFERROR(IF(K11="FOR",5,IF(K11="ART",VLOOKUP(P11,Tables!$L$3:$M$29,2,FALSE)+IF(Q11="",0,VLOOKUP(Q11,Tables!$B$33:$C$40,2,FALSE)),IF(R11="2-",ROUNDUP(0.75*(VLOOKUP(K11,Tables!$E$3:$F$18,2,FALSE)+VLOOKUP(L11,Tables!$O$3:$P$10,2,FALSE)+VLOOKUP(M11,Tables!$R$3:$S$9,2,FALSE)+IF(N11="",0,VLOOKUP(N11,Tables!$B$3:$C$5,2,FALSE))+IF(P11="",0,VLOOKUP(P11,Tables!$L$3:$M$29,2,FALSE))+IF(Q11="",0,VLOOKUP(Q11,Tables!$B$33:$C$40,2,FALSE))),0),VLOOKUP(K11,Tables!$E$3:$F$18,2,FALSE)+VLOOKUP(L11,Tables!$O$3:$P$10,2,FALSE)+VLOOKUP(M11,Tables!$R$3:$S$9,2,FALSE)+IF(N11="",0,VLOOKUP(N11,Tables!$B$3:$C$5,2,FALSE))+IF(P11="",0,VLOOKUP(P11,Tables!$L$3:$M$29,2,FALSE))+IF(Q11="",0,VLOOKUP(Q11,Tables!$B$33:$C$40,2,FALSE))))),"")</f>
        <v>19</v>
      </c>
      <c r="T11" s="118" t="str">
        <f t="shared" si="0"/>
        <v/>
      </c>
      <c r="U11" s="85"/>
    </row>
    <row r="12" spans="2:21" ht="15.6">
      <c r="B12" s="85"/>
      <c r="C12" s="65"/>
      <c r="D12" s="59"/>
      <c r="E12" s="60"/>
      <c r="F12" s="66"/>
      <c r="G12" s="51">
        <v>0</v>
      </c>
      <c r="H12" s="52">
        <v>6</v>
      </c>
      <c r="I12" s="144" t="s">
        <v>265</v>
      </c>
      <c r="J12" s="145" t="s">
        <v>265</v>
      </c>
      <c r="K12" s="27" t="s">
        <v>38</v>
      </c>
      <c r="L12" s="71">
        <v>6</v>
      </c>
      <c r="M12" s="71">
        <v>2</v>
      </c>
      <c r="N12" s="27" t="s">
        <v>37</v>
      </c>
      <c r="O12" s="27">
        <v>3</v>
      </c>
      <c r="P12" s="28" t="s">
        <v>17</v>
      </c>
      <c r="Q12" s="29"/>
      <c r="R12" s="29"/>
      <c r="S12" s="117">
        <f>IFERROR(IF(K12="FOR",5,IF(K12="ART",VLOOKUP(P12,Tables!$L$3:$M$29,2,FALSE)+IF(Q12="",0,VLOOKUP(Q12,Tables!$B$33:$C$40,2,FALSE)),IF(R12="2-",ROUNDUP(0.75*(VLOOKUP(K12,Tables!$E$3:$F$18,2,FALSE)+VLOOKUP(L12,Tables!$O$3:$P$10,2,FALSE)+VLOOKUP(M12,Tables!$R$3:$S$9,2,FALSE)+IF(N12="",0,VLOOKUP(N12,Tables!$B$3:$C$5,2,FALSE))+IF(P12="",0,VLOOKUP(P12,Tables!$L$3:$M$29,2,FALSE))+IF(Q12="",0,VLOOKUP(Q12,Tables!$B$33:$C$40,2,FALSE))),0),VLOOKUP(K12,Tables!$E$3:$F$18,2,FALSE)+VLOOKUP(L12,Tables!$O$3:$P$10,2,FALSE)+VLOOKUP(M12,Tables!$R$3:$S$9,2,FALSE)+IF(N12="",0,VLOOKUP(N12,Tables!$B$3:$C$5,2,FALSE))+IF(P12="",0,VLOOKUP(P12,Tables!$L$3:$M$29,2,FALSE))+IF(Q12="",0,VLOOKUP(Q12,Tables!$B$33:$C$40,2,FALSE))))),"")</f>
        <v>34</v>
      </c>
      <c r="T12" s="118" t="str">
        <f t="shared" si="0"/>
        <v/>
      </c>
      <c r="U12" s="85"/>
    </row>
    <row r="13" spans="2:21" ht="15.6">
      <c r="B13" s="85"/>
      <c r="C13" s="65"/>
      <c r="D13" s="59"/>
      <c r="E13" s="60"/>
      <c r="F13" s="66"/>
      <c r="G13" s="51" t="s">
        <v>95</v>
      </c>
      <c r="H13" s="52"/>
      <c r="I13" s="144" t="s">
        <v>266</v>
      </c>
      <c r="J13" s="145" t="s">
        <v>266</v>
      </c>
      <c r="K13" s="27" t="s">
        <v>38</v>
      </c>
      <c r="L13" s="71">
        <v>6</v>
      </c>
      <c r="M13" s="71">
        <v>2</v>
      </c>
      <c r="N13" s="27" t="s">
        <v>37</v>
      </c>
      <c r="O13" s="27">
        <v>3</v>
      </c>
      <c r="P13" s="28"/>
      <c r="Q13" s="29"/>
      <c r="R13" s="29"/>
      <c r="S13" s="117">
        <f>IFERROR(IF(K13="FOR",5,IF(K13="ART",VLOOKUP(P13,Tables!$L$3:$M$29,2,FALSE)+IF(Q13="",0,VLOOKUP(Q13,Tables!$B$33:$C$40,2,FALSE)),IF(R13="2-",ROUNDUP(0.75*(VLOOKUP(K13,Tables!$E$3:$F$18,2,FALSE)+VLOOKUP(L13,Tables!$O$3:$P$10,2,FALSE)+VLOOKUP(M13,Tables!$R$3:$S$9,2,FALSE)+IF(N13="",0,VLOOKUP(N13,Tables!$B$3:$C$5,2,FALSE))+IF(P13="",0,VLOOKUP(P13,Tables!$L$3:$M$29,2,FALSE))+IF(Q13="",0,VLOOKUP(Q13,Tables!$B$33:$C$40,2,FALSE))),0),VLOOKUP(K13,Tables!$E$3:$F$18,2,FALSE)+VLOOKUP(L13,Tables!$O$3:$P$10,2,FALSE)+VLOOKUP(M13,Tables!$R$3:$S$9,2,FALSE)+IF(N13="",0,VLOOKUP(N13,Tables!$B$3:$C$5,2,FALSE))+IF(P13="",0,VLOOKUP(P13,Tables!$L$3:$M$29,2,FALSE))+IF(Q13="",0,VLOOKUP(Q13,Tables!$B$33:$C$40,2,FALSE))))),"")</f>
        <v>31</v>
      </c>
      <c r="T13" s="118" t="str">
        <f t="shared" si="0"/>
        <v/>
      </c>
      <c r="U13" s="85"/>
    </row>
    <row r="14" spans="2:21" ht="15.6">
      <c r="B14" s="85"/>
      <c r="C14" s="65"/>
      <c r="D14" s="59"/>
      <c r="E14" s="60"/>
      <c r="F14" s="66"/>
      <c r="G14" s="51" t="s">
        <v>95</v>
      </c>
      <c r="H14" s="52"/>
      <c r="I14" s="144" t="s">
        <v>266</v>
      </c>
      <c r="J14" s="145" t="s">
        <v>266</v>
      </c>
      <c r="K14" s="27" t="s">
        <v>38</v>
      </c>
      <c r="L14" s="71">
        <v>6</v>
      </c>
      <c r="M14" s="71">
        <v>2</v>
      </c>
      <c r="N14" s="27" t="s">
        <v>37</v>
      </c>
      <c r="O14" s="27">
        <v>3</v>
      </c>
      <c r="P14" s="28" t="s">
        <v>52</v>
      </c>
      <c r="Q14" s="29"/>
      <c r="R14" s="29"/>
      <c r="S14" s="117">
        <f>IFERROR(IF(K14="FOR",5,IF(K14="ART",VLOOKUP(P14,Tables!$L$3:$M$29,2,FALSE)+IF(Q14="",0,VLOOKUP(Q14,Tables!$B$33:$C$40,2,FALSE)),IF(R14="2-",ROUNDUP(0.75*(VLOOKUP(K14,Tables!$E$3:$F$18,2,FALSE)+VLOOKUP(L14,Tables!$O$3:$P$10,2,FALSE)+VLOOKUP(M14,Tables!$R$3:$S$9,2,FALSE)+IF(N14="",0,VLOOKUP(N14,Tables!$B$3:$C$5,2,FALSE))+IF(P14="",0,VLOOKUP(P14,Tables!$L$3:$M$29,2,FALSE))+IF(Q14="",0,VLOOKUP(Q14,Tables!$B$33:$C$40,2,FALSE))),0),VLOOKUP(K14,Tables!$E$3:$F$18,2,FALSE)+VLOOKUP(L14,Tables!$O$3:$P$10,2,FALSE)+VLOOKUP(M14,Tables!$R$3:$S$9,2,FALSE)+IF(N14="",0,VLOOKUP(N14,Tables!$B$3:$C$5,2,FALSE))+IF(P14="",0,VLOOKUP(P14,Tables!$L$3:$M$29,2,FALSE))+IF(Q14="",0,VLOOKUP(Q14,Tables!$B$33:$C$40,2,FALSE))))),"")</f>
        <v>33</v>
      </c>
      <c r="T14" s="118" t="str">
        <f t="shared" si="0"/>
        <v/>
      </c>
      <c r="U14" s="85"/>
    </row>
    <row r="15" spans="2:21" ht="15.6">
      <c r="B15" s="85"/>
      <c r="C15" s="65"/>
      <c r="D15" s="59">
        <v>2</v>
      </c>
      <c r="E15" s="60"/>
      <c r="F15" s="66"/>
      <c r="G15" s="51">
        <v>2</v>
      </c>
      <c r="H15" s="52">
        <v>6</v>
      </c>
      <c r="I15" s="144" t="s">
        <v>267</v>
      </c>
      <c r="J15" s="145" t="s">
        <v>267</v>
      </c>
      <c r="K15" s="27" t="s">
        <v>38</v>
      </c>
      <c r="L15" s="71">
        <v>5</v>
      </c>
      <c r="M15" s="71">
        <v>2</v>
      </c>
      <c r="N15" s="27" t="s">
        <v>12</v>
      </c>
      <c r="O15" s="27">
        <v>2</v>
      </c>
      <c r="P15" s="28" t="s">
        <v>17</v>
      </c>
      <c r="Q15" s="29"/>
      <c r="R15" s="29"/>
      <c r="S15" s="117">
        <f>IFERROR(IF(K15="FOR",5,IF(K15="ART",VLOOKUP(P15,Tables!$L$3:$M$29,2,FALSE)+IF(Q15="",0,VLOOKUP(Q15,Tables!$B$33:$C$40,2,FALSE)),IF(R15="2-",ROUNDUP(0.75*(VLOOKUP(K15,Tables!$E$3:$F$18,2,FALSE)+VLOOKUP(L15,Tables!$O$3:$P$10,2,FALSE)+VLOOKUP(M15,Tables!$R$3:$S$9,2,FALSE)+IF(N15="",0,VLOOKUP(N15,Tables!$B$3:$C$5,2,FALSE))+IF(P15="",0,VLOOKUP(P15,Tables!$L$3:$M$29,2,FALSE))+IF(Q15="",0,VLOOKUP(Q15,Tables!$B$33:$C$40,2,FALSE))),0),VLOOKUP(K15,Tables!$E$3:$F$18,2,FALSE)+VLOOKUP(L15,Tables!$O$3:$P$10,2,FALSE)+VLOOKUP(M15,Tables!$R$3:$S$9,2,FALSE)+IF(N15="",0,VLOOKUP(N15,Tables!$B$3:$C$5,2,FALSE))+IF(P15="",0,VLOOKUP(P15,Tables!$L$3:$M$29,2,FALSE))+IF(Q15="",0,VLOOKUP(Q15,Tables!$B$33:$C$40,2,FALSE))))),"")</f>
        <v>23</v>
      </c>
      <c r="T15" s="118" t="str">
        <f t="shared" si="0"/>
        <v>Y</v>
      </c>
      <c r="U15" s="85"/>
    </row>
    <row r="16" spans="2:21" ht="15.6">
      <c r="B16" s="85"/>
      <c r="C16" s="65"/>
      <c r="D16" s="59">
        <v>2</v>
      </c>
      <c r="E16" s="60"/>
      <c r="F16" s="66"/>
      <c r="G16" s="51">
        <v>2</v>
      </c>
      <c r="H16" s="52">
        <v>6</v>
      </c>
      <c r="I16" s="144" t="s">
        <v>268</v>
      </c>
      <c r="J16" s="145" t="s">
        <v>268</v>
      </c>
      <c r="K16" s="27" t="s">
        <v>40</v>
      </c>
      <c r="L16" s="71">
        <v>5</v>
      </c>
      <c r="M16" s="71">
        <v>1</v>
      </c>
      <c r="N16" s="27" t="s">
        <v>12</v>
      </c>
      <c r="O16" s="27">
        <v>2</v>
      </c>
      <c r="P16" s="28" t="s">
        <v>113</v>
      </c>
      <c r="Q16" s="29"/>
      <c r="R16" s="29"/>
      <c r="S16" s="117">
        <f>IFERROR(IF(K16="FOR",5,IF(K16="ART",VLOOKUP(P16,Tables!$L$3:$M$29,2,FALSE)+IF(Q16="",0,VLOOKUP(Q16,Tables!$B$33:$C$40,2,FALSE)),IF(R16="2-",ROUNDUP(0.75*(VLOOKUP(K16,Tables!$E$3:$F$18,2,FALSE)+VLOOKUP(L16,Tables!$O$3:$P$10,2,FALSE)+VLOOKUP(M16,Tables!$R$3:$S$9,2,FALSE)+IF(N16="",0,VLOOKUP(N16,Tables!$B$3:$C$5,2,FALSE))+IF(P16="",0,VLOOKUP(P16,Tables!$L$3:$M$29,2,FALSE))+IF(Q16="",0,VLOOKUP(Q16,Tables!$B$33:$C$40,2,FALSE))),0),VLOOKUP(K16,Tables!$E$3:$F$18,2,FALSE)+VLOOKUP(L16,Tables!$O$3:$P$10,2,FALSE)+VLOOKUP(M16,Tables!$R$3:$S$9,2,FALSE)+IF(N16="",0,VLOOKUP(N16,Tables!$B$3:$C$5,2,FALSE))+IF(P16="",0,VLOOKUP(P16,Tables!$L$3:$M$29,2,FALSE))+IF(Q16="",0,VLOOKUP(Q16,Tables!$B$33:$C$40,2,FALSE))))),"")</f>
        <v>20</v>
      </c>
      <c r="T16" s="118" t="str">
        <f t="shared" si="0"/>
        <v>Y</v>
      </c>
      <c r="U16" s="85"/>
    </row>
    <row r="17" spans="2:21" ht="15.6">
      <c r="B17" s="85"/>
      <c r="C17" s="65"/>
      <c r="D17" s="59"/>
      <c r="E17" s="60"/>
      <c r="F17" s="66"/>
      <c r="G17" s="51" t="s">
        <v>95</v>
      </c>
      <c r="H17" s="52"/>
      <c r="I17" s="144" t="s">
        <v>269</v>
      </c>
      <c r="J17" s="145" t="s">
        <v>269</v>
      </c>
      <c r="K17" s="27" t="s">
        <v>38</v>
      </c>
      <c r="L17" s="71">
        <v>5</v>
      </c>
      <c r="M17" s="71">
        <v>2</v>
      </c>
      <c r="N17" s="27" t="s">
        <v>12</v>
      </c>
      <c r="O17" s="27">
        <v>2</v>
      </c>
      <c r="P17" s="28" t="s">
        <v>52</v>
      </c>
      <c r="Q17" s="29"/>
      <c r="R17" s="29"/>
      <c r="S17" s="117">
        <f>IFERROR(IF(K17="FOR",5,IF(K17="ART",VLOOKUP(P17,Tables!$L$3:$M$29,2,FALSE)+IF(Q17="",0,VLOOKUP(Q17,Tables!$B$33:$C$40,2,FALSE)),IF(R17="2-",ROUNDUP(0.75*(VLOOKUP(K17,Tables!$E$3:$F$18,2,FALSE)+VLOOKUP(L17,Tables!$O$3:$P$10,2,FALSE)+VLOOKUP(M17,Tables!$R$3:$S$9,2,FALSE)+IF(N17="",0,VLOOKUP(N17,Tables!$B$3:$C$5,2,FALSE))+IF(P17="",0,VLOOKUP(P17,Tables!$L$3:$M$29,2,FALSE))+IF(Q17="",0,VLOOKUP(Q17,Tables!$B$33:$C$40,2,FALSE))),0),VLOOKUP(K17,Tables!$E$3:$F$18,2,FALSE)+VLOOKUP(L17,Tables!$O$3:$P$10,2,FALSE)+VLOOKUP(M17,Tables!$R$3:$S$9,2,FALSE)+IF(N17="",0,VLOOKUP(N17,Tables!$B$3:$C$5,2,FALSE))+IF(P17="",0,VLOOKUP(P17,Tables!$L$3:$M$29,2,FALSE))+IF(Q17="",0,VLOOKUP(Q17,Tables!$B$33:$C$40,2,FALSE))))),"")</f>
        <v>22</v>
      </c>
      <c r="T17" s="118" t="str">
        <f t="shared" si="0"/>
        <v/>
      </c>
      <c r="U17" s="85"/>
    </row>
    <row r="18" spans="2:21" ht="15.6">
      <c r="B18" s="85"/>
      <c r="C18" s="65"/>
      <c r="D18" s="59"/>
      <c r="E18" s="60"/>
      <c r="F18" s="66"/>
      <c r="G18" s="51">
        <v>0</v>
      </c>
      <c r="H18" s="52">
        <v>8</v>
      </c>
      <c r="I18" s="144" t="s">
        <v>270</v>
      </c>
      <c r="J18" s="145" t="s">
        <v>270</v>
      </c>
      <c r="K18" s="27" t="s">
        <v>40</v>
      </c>
      <c r="L18" s="71">
        <v>4</v>
      </c>
      <c r="M18" s="71">
        <v>4</v>
      </c>
      <c r="N18" s="27" t="s">
        <v>14</v>
      </c>
      <c r="O18" s="27">
        <v>1</v>
      </c>
      <c r="P18" s="28"/>
      <c r="Q18" s="29" t="s">
        <v>18</v>
      </c>
      <c r="R18" s="29"/>
      <c r="S18" s="117">
        <f>IFERROR(IF(K18="FOR",5,IF(K18="ART",VLOOKUP(P18,Tables!$L$3:$M$29,2,FALSE)+IF(Q18="",0,VLOOKUP(Q18,Tables!$B$33:$C$40,2,FALSE)),IF(R18="2-",ROUNDUP(0.75*(VLOOKUP(K18,Tables!$E$3:$F$18,2,FALSE)+VLOOKUP(L18,Tables!$O$3:$P$10,2,FALSE)+VLOOKUP(M18,Tables!$R$3:$S$9,2,FALSE)+IF(N18="",0,VLOOKUP(N18,Tables!$B$3:$C$5,2,FALSE))+IF(P18="",0,VLOOKUP(P18,Tables!$L$3:$M$29,2,FALSE))+IF(Q18="",0,VLOOKUP(Q18,Tables!$B$33:$C$40,2,FALSE))),0),VLOOKUP(K18,Tables!$E$3:$F$18,2,FALSE)+VLOOKUP(L18,Tables!$O$3:$P$10,2,FALSE)+VLOOKUP(M18,Tables!$R$3:$S$9,2,FALSE)+IF(N18="",0,VLOOKUP(N18,Tables!$B$3:$C$5,2,FALSE))+IF(P18="",0,VLOOKUP(P18,Tables!$L$3:$M$29,2,FALSE))+IF(Q18="",0,VLOOKUP(Q18,Tables!$B$33:$C$40,2,FALSE))))),"")</f>
        <v>10</v>
      </c>
      <c r="T18" s="118" t="str">
        <f t="shared" si="0"/>
        <v/>
      </c>
      <c r="U18" s="85"/>
    </row>
    <row r="19" spans="2:21" ht="15.6">
      <c r="B19" s="85"/>
      <c r="C19" s="65"/>
      <c r="D19" s="59"/>
      <c r="E19" s="60"/>
      <c r="F19" s="66"/>
      <c r="G19" s="51" t="s">
        <v>284</v>
      </c>
      <c r="H19" s="52" t="s">
        <v>286</v>
      </c>
      <c r="I19" s="144" t="s">
        <v>270</v>
      </c>
      <c r="J19" s="145" t="s">
        <v>270</v>
      </c>
      <c r="K19" s="27" t="s">
        <v>40</v>
      </c>
      <c r="L19" s="71">
        <v>5</v>
      </c>
      <c r="M19" s="71">
        <v>4</v>
      </c>
      <c r="N19" s="27" t="s">
        <v>14</v>
      </c>
      <c r="O19" s="27">
        <v>2</v>
      </c>
      <c r="P19" s="28"/>
      <c r="Q19" s="29" t="s">
        <v>18</v>
      </c>
      <c r="R19" s="29"/>
      <c r="S19" s="117">
        <f>IFERROR(IF(K19="FOR",5,IF(K19="ART",VLOOKUP(P19,Tables!$L$3:$M$29,2,FALSE)+IF(Q19="",0,VLOOKUP(Q19,Tables!$B$33:$C$40,2,FALSE)),IF(R19="2-",ROUNDUP(0.75*(VLOOKUP(K19,Tables!$E$3:$F$18,2,FALSE)+VLOOKUP(L19,Tables!$O$3:$P$10,2,FALSE)+VLOOKUP(M19,Tables!$R$3:$S$9,2,FALSE)+IF(N19="",0,VLOOKUP(N19,Tables!$B$3:$C$5,2,FALSE))+IF(P19="",0,VLOOKUP(P19,Tables!$L$3:$M$29,2,FALSE))+IF(Q19="",0,VLOOKUP(Q19,Tables!$B$33:$C$40,2,FALSE))),0),VLOOKUP(K19,Tables!$E$3:$F$18,2,FALSE)+VLOOKUP(L19,Tables!$O$3:$P$10,2,FALSE)+VLOOKUP(M19,Tables!$R$3:$S$9,2,FALSE)+IF(N19="",0,VLOOKUP(N19,Tables!$B$3:$C$5,2,FALSE))+IF(P19="",0,VLOOKUP(P19,Tables!$L$3:$M$29,2,FALSE))+IF(Q19="",0,VLOOKUP(Q19,Tables!$B$33:$C$40,2,FALSE))))),"")</f>
        <v>15</v>
      </c>
      <c r="T19" s="118" t="str">
        <f t="shared" si="0"/>
        <v/>
      </c>
      <c r="U19" s="85"/>
    </row>
    <row r="20" spans="2:21" ht="15.6">
      <c r="B20" s="85"/>
      <c r="C20" s="65"/>
      <c r="D20" s="59"/>
      <c r="E20" s="60">
        <v>2</v>
      </c>
      <c r="F20" s="66"/>
      <c r="G20" s="51" t="s">
        <v>95</v>
      </c>
      <c r="H20" s="52"/>
      <c r="I20" s="144" t="s">
        <v>270</v>
      </c>
      <c r="J20" s="145" t="s">
        <v>270</v>
      </c>
      <c r="K20" s="27" t="s">
        <v>38</v>
      </c>
      <c r="L20" s="71">
        <v>4</v>
      </c>
      <c r="M20" s="71">
        <v>4</v>
      </c>
      <c r="N20" s="27" t="s">
        <v>14</v>
      </c>
      <c r="O20" s="27">
        <v>1</v>
      </c>
      <c r="P20" s="28"/>
      <c r="Q20" s="29" t="s">
        <v>18</v>
      </c>
      <c r="R20" s="29" t="s">
        <v>222</v>
      </c>
      <c r="S20" s="117">
        <f>IFERROR(IF(K20="FOR",5,IF(K20="ART",VLOOKUP(P20,Tables!$L$3:$M$29,2,FALSE)+IF(Q20="",0,VLOOKUP(Q20,Tables!$B$33:$C$40,2,FALSE)),IF(R20="2-",ROUNDUP(0.75*(VLOOKUP(K20,Tables!$E$3:$F$18,2,FALSE)+VLOOKUP(L20,Tables!$O$3:$P$10,2,FALSE)+VLOOKUP(M20,Tables!$R$3:$S$9,2,FALSE)+IF(N20="",0,VLOOKUP(N20,Tables!$B$3:$C$5,2,FALSE))+IF(P20="",0,VLOOKUP(P20,Tables!$L$3:$M$29,2,FALSE))+IF(Q20="",0,VLOOKUP(Q20,Tables!$B$33:$C$40,2,FALSE))),0),VLOOKUP(K20,Tables!$E$3:$F$18,2,FALSE)+VLOOKUP(L20,Tables!$O$3:$P$10,2,FALSE)+VLOOKUP(M20,Tables!$R$3:$S$9,2,FALSE)+IF(N20="",0,VLOOKUP(N20,Tables!$B$3:$C$5,2,FALSE))+IF(P20="",0,VLOOKUP(P20,Tables!$L$3:$M$29,2,FALSE))+IF(Q20="",0,VLOOKUP(Q20,Tables!$B$33:$C$40,2,FALSE))))),"")</f>
        <v>9</v>
      </c>
      <c r="T20" s="118" t="str">
        <f t="shared" si="0"/>
        <v>Y</v>
      </c>
      <c r="U20" s="85"/>
    </row>
    <row r="21" spans="2:21" ht="15.6">
      <c r="B21" s="85"/>
      <c r="C21" s="65"/>
      <c r="D21" s="59"/>
      <c r="E21" s="60">
        <v>2</v>
      </c>
      <c r="F21" s="66"/>
      <c r="G21" s="51" t="s">
        <v>284</v>
      </c>
      <c r="H21" s="52" t="s">
        <v>287</v>
      </c>
      <c r="I21" s="144" t="s">
        <v>270</v>
      </c>
      <c r="J21" s="145" t="s">
        <v>270</v>
      </c>
      <c r="K21" s="27" t="s">
        <v>38</v>
      </c>
      <c r="L21" s="71">
        <v>5</v>
      </c>
      <c r="M21" s="71">
        <v>4</v>
      </c>
      <c r="N21" s="27" t="s">
        <v>14</v>
      </c>
      <c r="O21" s="27">
        <v>2</v>
      </c>
      <c r="P21" s="28"/>
      <c r="Q21" s="29" t="s">
        <v>18</v>
      </c>
      <c r="R21" s="29">
        <v>1</v>
      </c>
      <c r="S21" s="117">
        <f>IFERROR(IF(K21="FOR",5,IF(K21="ART",VLOOKUP(P21,Tables!$L$3:$M$29,2,FALSE)+IF(Q21="",0,VLOOKUP(Q21,Tables!$B$33:$C$40,2,FALSE)),IF(R21="2-",ROUNDUP(0.75*(VLOOKUP(K21,Tables!$E$3:$F$18,2,FALSE)+VLOOKUP(L21,Tables!$O$3:$P$10,2,FALSE)+VLOOKUP(M21,Tables!$R$3:$S$9,2,FALSE)+IF(N21="",0,VLOOKUP(N21,Tables!$B$3:$C$5,2,FALSE))+IF(P21="",0,VLOOKUP(P21,Tables!$L$3:$M$29,2,FALSE))+IF(Q21="",0,VLOOKUP(Q21,Tables!$B$33:$C$40,2,FALSE))),0),VLOOKUP(K21,Tables!$E$3:$F$18,2,FALSE)+VLOOKUP(L21,Tables!$O$3:$P$10,2,FALSE)+VLOOKUP(M21,Tables!$R$3:$S$9,2,FALSE)+IF(N21="",0,VLOOKUP(N21,Tables!$B$3:$C$5,2,FALSE))+IF(P21="",0,VLOOKUP(P21,Tables!$L$3:$M$29,2,FALSE))+IF(Q21="",0,VLOOKUP(Q21,Tables!$B$33:$C$40,2,FALSE))))),"")</f>
        <v>16</v>
      </c>
      <c r="T21" s="118" t="str">
        <f t="shared" si="0"/>
        <v>Y</v>
      </c>
      <c r="U21" s="85"/>
    </row>
    <row r="22" spans="2:21" ht="15.6">
      <c r="B22" s="85"/>
      <c r="C22" s="65"/>
      <c r="D22" s="59"/>
      <c r="E22" s="60"/>
      <c r="F22" s="66"/>
      <c r="G22" s="51">
        <v>0</v>
      </c>
      <c r="H22" s="52">
        <v>4</v>
      </c>
      <c r="I22" s="144" t="s">
        <v>271</v>
      </c>
      <c r="J22" s="145" t="s">
        <v>271</v>
      </c>
      <c r="K22" s="27" t="s">
        <v>40</v>
      </c>
      <c r="L22" s="71">
        <v>5</v>
      </c>
      <c r="M22" s="71">
        <v>4</v>
      </c>
      <c r="N22" s="27" t="s">
        <v>14</v>
      </c>
      <c r="O22" s="27">
        <v>2</v>
      </c>
      <c r="P22" s="28"/>
      <c r="Q22" s="29" t="s">
        <v>18</v>
      </c>
      <c r="R22" s="29"/>
      <c r="S22" s="117">
        <f>IFERROR(IF(K22="FOR",5,IF(K22="ART",VLOOKUP(P22,Tables!$L$3:$M$29,2,FALSE)+IF(Q22="",0,VLOOKUP(Q22,Tables!$B$33:$C$40,2,FALSE)),IF(R22="2-",ROUNDUP(0.75*(VLOOKUP(K22,Tables!$E$3:$F$18,2,FALSE)+VLOOKUP(L22,Tables!$O$3:$P$10,2,FALSE)+VLOOKUP(M22,Tables!$R$3:$S$9,2,FALSE)+IF(N22="",0,VLOOKUP(N22,Tables!$B$3:$C$5,2,FALSE))+IF(P22="",0,VLOOKUP(P22,Tables!$L$3:$M$29,2,FALSE))+IF(Q22="",0,VLOOKUP(Q22,Tables!$B$33:$C$40,2,FALSE))),0),VLOOKUP(K22,Tables!$E$3:$F$18,2,FALSE)+VLOOKUP(L22,Tables!$O$3:$P$10,2,FALSE)+VLOOKUP(M22,Tables!$R$3:$S$9,2,FALSE)+IF(N22="",0,VLOOKUP(N22,Tables!$B$3:$C$5,2,FALSE))+IF(P22="",0,VLOOKUP(P22,Tables!$L$3:$M$29,2,FALSE))+IF(Q22="",0,VLOOKUP(Q22,Tables!$B$33:$C$40,2,FALSE))))),"")</f>
        <v>15</v>
      </c>
      <c r="T22" s="118" t="str">
        <f t="shared" si="0"/>
        <v/>
      </c>
      <c r="U22" s="85"/>
    </row>
    <row r="23" spans="2:21" ht="15.6">
      <c r="B23" s="85"/>
      <c r="C23" s="65"/>
      <c r="D23" s="59"/>
      <c r="E23" s="60"/>
      <c r="F23" s="66"/>
      <c r="G23" s="51">
        <v>0</v>
      </c>
      <c r="H23" s="52">
        <v>4</v>
      </c>
      <c r="I23" s="144" t="s">
        <v>272</v>
      </c>
      <c r="J23" s="145" t="s">
        <v>272</v>
      </c>
      <c r="K23" s="27" t="s">
        <v>40</v>
      </c>
      <c r="L23" s="71">
        <v>5</v>
      </c>
      <c r="M23" s="71">
        <v>2</v>
      </c>
      <c r="N23" s="27" t="s">
        <v>12</v>
      </c>
      <c r="O23" s="27">
        <v>2</v>
      </c>
      <c r="P23" s="28" t="s">
        <v>113</v>
      </c>
      <c r="Q23" s="29"/>
      <c r="R23" s="29"/>
      <c r="S23" s="117">
        <f>IFERROR(IF(K23="FOR",5,IF(K23="ART",VLOOKUP(P23,Tables!$L$3:$M$29,2,FALSE)+IF(Q23="",0,VLOOKUP(Q23,Tables!$B$33:$C$40,2,FALSE)),IF(R23="2-",ROUNDUP(0.75*(VLOOKUP(K23,Tables!$E$3:$F$18,2,FALSE)+VLOOKUP(L23,Tables!$O$3:$P$10,2,FALSE)+VLOOKUP(M23,Tables!$R$3:$S$9,2,FALSE)+IF(N23="",0,VLOOKUP(N23,Tables!$B$3:$C$5,2,FALSE))+IF(P23="",0,VLOOKUP(P23,Tables!$L$3:$M$29,2,FALSE))+IF(Q23="",0,VLOOKUP(Q23,Tables!$B$33:$C$40,2,FALSE))),0),VLOOKUP(K23,Tables!$E$3:$F$18,2,FALSE)+VLOOKUP(L23,Tables!$O$3:$P$10,2,FALSE)+VLOOKUP(M23,Tables!$R$3:$S$9,2,FALSE)+IF(N23="",0,VLOOKUP(N23,Tables!$B$3:$C$5,2,FALSE))+IF(P23="",0,VLOOKUP(P23,Tables!$L$3:$M$29,2,FALSE))+IF(Q23="",0,VLOOKUP(Q23,Tables!$B$33:$C$40,2,FALSE))))),"")</f>
        <v>21</v>
      </c>
      <c r="T23" s="118" t="str">
        <f t="shared" si="0"/>
        <v/>
      </c>
      <c r="U23" s="85"/>
    </row>
    <row r="24" spans="2:21" ht="15.6">
      <c r="B24" s="85"/>
      <c r="C24" s="65"/>
      <c r="D24" s="59"/>
      <c r="E24" s="60"/>
      <c r="F24" s="66"/>
      <c r="G24" s="51">
        <v>0</v>
      </c>
      <c r="H24" s="52">
        <v>2</v>
      </c>
      <c r="I24" s="144" t="s">
        <v>273</v>
      </c>
      <c r="J24" s="145" t="s">
        <v>273</v>
      </c>
      <c r="K24" s="27" t="s">
        <v>40</v>
      </c>
      <c r="L24" s="71">
        <v>5</v>
      </c>
      <c r="M24" s="71">
        <v>2</v>
      </c>
      <c r="N24" s="27" t="s">
        <v>12</v>
      </c>
      <c r="O24" s="27">
        <v>2</v>
      </c>
      <c r="P24" s="28"/>
      <c r="Q24" s="29"/>
      <c r="R24" s="29"/>
      <c r="S24" s="117">
        <f>IFERROR(IF(K24="FOR",5,IF(K24="ART",VLOOKUP(P24,Tables!$L$3:$M$29,2,FALSE)+IF(Q24="",0,VLOOKUP(Q24,Tables!$B$33:$C$40,2,FALSE)),IF(R24="2-",ROUNDUP(0.75*(VLOOKUP(K24,Tables!$E$3:$F$18,2,FALSE)+VLOOKUP(L24,Tables!$O$3:$P$10,2,FALSE)+VLOOKUP(M24,Tables!$R$3:$S$9,2,FALSE)+IF(N24="",0,VLOOKUP(N24,Tables!$B$3:$C$5,2,FALSE))+IF(P24="",0,VLOOKUP(P24,Tables!$L$3:$M$29,2,FALSE))+IF(Q24="",0,VLOOKUP(Q24,Tables!$B$33:$C$40,2,FALSE))),0),VLOOKUP(K24,Tables!$E$3:$F$18,2,FALSE)+VLOOKUP(L24,Tables!$O$3:$P$10,2,FALSE)+VLOOKUP(M24,Tables!$R$3:$S$9,2,FALSE)+IF(N24="",0,VLOOKUP(N24,Tables!$B$3:$C$5,2,FALSE))+IF(P24="",0,VLOOKUP(P24,Tables!$L$3:$M$29,2,FALSE))+IF(Q24="",0,VLOOKUP(Q24,Tables!$B$33:$C$40,2,FALSE))))),"")</f>
        <v>19</v>
      </c>
      <c r="T24" s="118" t="str">
        <f t="shared" si="0"/>
        <v/>
      </c>
      <c r="U24" s="85"/>
    </row>
    <row r="25" spans="2:21" ht="15.6">
      <c r="B25" s="85"/>
      <c r="C25" s="65"/>
      <c r="D25" s="59"/>
      <c r="E25" s="60">
        <v>1</v>
      </c>
      <c r="F25" s="66"/>
      <c r="G25" s="51" t="s">
        <v>95</v>
      </c>
      <c r="H25" s="52"/>
      <c r="I25" s="144" t="s">
        <v>274</v>
      </c>
      <c r="J25" s="145" t="s">
        <v>274</v>
      </c>
      <c r="K25" s="27" t="s">
        <v>40</v>
      </c>
      <c r="L25" s="71">
        <v>4</v>
      </c>
      <c r="M25" s="71">
        <v>1</v>
      </c>
      <c r="N25" s="27" t="s">
        <v>12</v>
      </c>
      <c r="O25" s="27">
        <v>1</v>
      </c>
      <c r="P25" s="28" t="s">
        <v>44</v>
      </c>
      <c r="Q25" s="29"/>
      <c r="R25" s="29"/>
      <c r="S25" s="117">
        <f>IFERROR(IF(K25="FOR",5,IF(K25="ART",VLOOKUP(P25,Tables!$L$3:$M$29,2,FALSE)+IF(Q25="",0,VLOOKUP(Q25,Tables!$B$33:$C$40,2,FALSE)),IF(R25="2-",ROUNDUP(0.75*(VLOOKUP(K25,Tables!$E$3:$F$18,2,FALSE)+VLOOKUP(L25,Tables!$O$3:$P$10,2,FALSE)+VLOOKUP(M25,Tables!$R$3:$S$9,2,FALSE)+IF(N25="",0,VLOOKUP(N25,Tables!$B$3:$C$5,2,FALSE))+IF(P25="",0,VLOOKUP(P25,Tables!$L$3:$M$29,2,FALSE))+IF(Q25="",0,VLOOKUP(Q25,Tables!$B$33:$C$40,2,FALSE))),0),VLOOKUP(K25,Tables!$E$3:$F$18,2,FALSE)+VLOOKUP(L25,Tables!$O$3:$P$10,2,FALSE)+VLOOKUP(M25,Tables!$R$3:$S$9,2,FALSE)+IF(N25="",0,VLOOKUP(N25,Tables!$B$3:$C$5,2,FALSE))+IF(P25="",0,VLOOKUP(P25,Tables!$L$3:$M$29,2,FALSE))+IF(Q25="",0,VLOOKUP(Q25,Tables!$B$33:$C$40,2,FALSE))))),"")</f>
        <v>15</v>
      </c>
      <c r="T25" s="118" t="str">
        <f t="shared" si="0"/>
        <v>Y</v>
      </c>
      <c r="U25" s="85"/>
    </row>
    <row r="26" spans="2:21" ht="15.6">
      <c r="B26" s="85"/>
      <c r="C26" s="65"/>
      <c r="D26" s="59"/>
      <c r="E26" s="60"/>
      <c r="F26" s="66"/>
      <c r="G26" s="51">
        <v>0</v>
      </c>
      <c r="H26" s="52">
        <v>2</v>
      </c>
      <c r="I26" s="144" t="s">
        <v>275</v>
      </c>
      <c r="J26" s="145" t="s">
        <v>275</v>
      </c>
      <c r="K26" s="27" t="s">
        <v>40</v>
      </c>
      <c r="L26" s="71">
        <v>4</v>
      </c>
      <c r="M26" s="71">
        <v>1</v>
      </c>
      <c r="N26" s="27" t="s">
        <v>14</v>
      </c>
      <c r="O26" s="27">
        <v>1</v>
      </c>
      <c r="P26" s="28" t="s">
        <v>44</v>
      </c>
      <c r="Q26" s="29"/>
      <c r="R26" s="29"/>
      <c r="S26" s="117">
        <f>IFERROR(IF(K26="FOR",5,IF(K26="ART",VLOOKUP(P26,Tables!$L$3:$M$29,2,FALSE)+IF(Q26="",0,VLOOKUP(Q26,Tables!$B$33:$C$40,2,FALSE)),IF(R26="2-",ROUNDUP(0.75*(VLOOKUP(K26,Tables!$E$3:$F$18,2,FALSE)+VLOOKUP(L26,Tables!$O$3:$P$10,2,FALSE)+VLOOKUP(M26,Tables!$R$3:$S$9,2,FALSE)+IF(N26="",0,VLOOKUP(N26,Tables!$B$3:$C$5,2,FALSE))+IF(P26="",0,VLOOKUP(P26,Tables!$L$3:$M$29,2,FALSE))+IF(Q26="",0,VLOOKUP(Q26,Tables!$B$33:$C$40,2,FALSE))),0),VLOOKUP(K26,Tables!$E$3:$F$18,2,FALSE)+VLOOKUP(L26,Tables!$O$3:$P$10,2,FALSE)+VLOOKUP(M26,Tables!$R$3:$S$9,2,FALSE)+IF(N26="",0,VLOOKUP(N26,Tables!$B$3:$C$5,2,FALSE))+IF(P26="",0,VLOOKUP(P26,Tables!$L$3:$M$29,2,FALSE))+IF(Q26="",0,VLOOKUP(Q26,Tables!$B$33:$C$40,2,FALSE))))),"")</f>
        <v>10</v>
      </c>
      <c r="T26" s="118" t="str">
        <f t="shared" si="0"/>
        <v/>
      </c>
      <c r="U26" s="85"/>
    </row>
    <row r="27" spans="2:21" ht="15.6">
      <c r="B27" s="85"/>
      <c r="C27" s="65"/>
      <c r="D27" s="59"/>
      <c r="E27" s="60"/>
      <c r="F27" s="66"/>
      <c r="G27" s="51">
        <v>0</v>
      </c>
      <c r="H27" s="52">
        <v>6</v>
      </c>
      <c r="I27" s="144" t="s">
        <v>276</v>
      </c>
      <c r="J27" s="145" t="s">
        <v>276</v>
      </c>
      <c r="K27" s="27" t="s">
        <v>38</v>
      </c>
      <c r="L27" s="71">
        <v>4</v>
      </c>
      <c r="M27" s="71">
        <v>2</v>
      </c>
      <c r="N27" s="27" t="s">
        <v>14</v>
      </c>
      <c r="O27" s="27">
        <v>1</v>
      </c>
      <c r="P27" s="28"/>
      <c r="Q27" s="29"/>
      <c r="R27" s="29"/>
      <c r="S27" s="117">
        <f>IFERROR(IF(K27="FOR",5,IF(K27="ART",VLOOKUP(P27,Tables!$L$3:$M$29,2,FALSE)+IF(Q27="",0,VLOOKUP(Q27,Tables!$B$33:$C$40,2,FALSE)),IF(R27="2-",ROUNDUP(0.75*(VLOOKUP(K27,Tables!$E$3:$F$18,2,FALSE)+VLOOKUP(L27,Tables!$O$3:$P$10,2,FALSE)+VLOOKUP(M27,Tables!$R$3:$S$9,2,FALSE)+IF(N27="",0,VLOOKUP(N27,Tables!$B$3:$C$5,2,FALSE))+IF(P27="",0,VLOOKUP(P27,Tables!$L$3:$M$29,2,FALSE))+IF(Q27="",0,VLOOKUP(Q27,Tables!$B$33:$C$40,2,FALSE))),0),VLOOKUP(K27,Tables!$E$3:$F$18,2,FALSE)+VLOOKUP(L27,Tables!$O$3:$P$10,2,FALSE)+VLOOKUP(M27,Tables!$R$3:$S$9,2,FALSE)+IF(N27="",0,VLOOKUP(N27,Tables!$B$3:$C$5,2,FALSE))+IF(P27="",0,VLOOKUP(P27,Tables!$L$3:$M$29,2,FALSE))+IF(Q27="",0,VLOOKUP(Q27,Tables!$B$33:$C$40,2,FALSE))))),"")</f>
        <v>10</v>
      </c>
      <c r="T27" s="118" t="str">
        <f t="shared" si="0"/>
        <v/>
      </c>
      <c r="U27" s="85"/>
    </row>
    <row r="28" spans="2:21" ht="15.6">
      <c r="B28" s="85"/>
      <c r="C28" s="65"/>
      <c r="D28" s="59"/>
      <c r="E28" s="60"/>
      <c r="F28" s="66"/>
      <c r="G28" s="51">
        <v>0</v>
      </c>
      <c r="H28" s="52">
        <v>2</v>
      </c>
      <c r="I28" s="144" t="s">
        <v>277</v>
      </c>
      <c r="J28" s="145" t="s">
        <v>277</v>
      </c>
      <c r="K28" s="27" t="s">
        <v>38</v>
      </c>
      <c r="L28" s="71">
        <v>5</v>
      </c>
      <c r="M28" s="71">
        <v>2</v>
      </c>
      <c r="N28" s="27" t="s">
        <v>12</v>
      </c>
      <c r="O28" s="27">
        <v>2</v>
      </c>
      <c r="P28" s="28" t="s">
        <v>17</v>
      </c>
      <c r="Q28" s="29"/>
      <c r="R28" s="29"/>
      <c r="S28" s="117">
        <f>IFERROR(IF(K28="FOR",5,IF(K28="ART",VLOOKUP(P28,Tables!$L$3:$M$29,2,FALSE)+IF(Q28="",0,VLOOKUP(Q28,Tables!$B$33:$C$40,2,FALSE)),IF(R28="2-",ROUNDUP(0.75*(VLOOKUP(K28,Tables!$E$3:$F$18,2,FALSE)+VLOOKUP(L28,Tables!$O$3:$P$10,2,FALSE)+VLOOKUP(M28,Tables!$R$3:$S$9,2,FALSE)+IF(N28="",0,VLOOKUP(N28,Tables!$B$3:$C$5,2,FALSE))+IF(P28="",0,VLOOKUP(P28,Tables!$L$3:$M$29,2,FALSE))+IF(Q28="",0,VLOOKUP(Q28,Tables!$B$33:$C$40,2,FALSE))),0),VLOOKUP(K28,Tables!$E$3:$F$18,2,FALSE)+VLOOKUP(L28,Tables!$O$3:$P$10,2,FALSE)+VLOOKUP(M28,Tables!$R$3:$S$9,2,FALSE)+IF(N28="",0,VLOOKUP(N28,Tables!$B$3:$C$5,2,FALSE))+IF(P28="",0,VLOOKUP(P28,Tables!$L$3:$M$29,2,FALSE))+IF(Q28="",0,VLOOKUP(Q28,Tables!$B$33:$C$40,2,FALSE))))),"")</f>
        <v>23</v>
      </c>
      <c r="T28" s="118" t="str">
        <f t="shared" si="0"/>
        <v/>
      </c>
      <c r="U28" s="85"/>
    </row>
    <row r="29" spans="2:21" ht="15.6">
      <c r="B29" s="85"/>
      <c r="C29" s="65"/>
      <c r="D29" s="59"/>
      <c r="E29" s="60"/>
      <c r="F29" s="66"/>
      <c r="G29" s="51" t="s">
        <v>95</v>
      </c>
      <c r="H29" s="52"/>
      <c r="I29" s="144" t="s">
        <v>278</v>
      </c>
      <c r="J29" s="145" t="s">
        <v>278</v>
      </c>
      <c r="K29" s="27" t="s">
        <v>38</v>
      </c>
      <c r="L29" s="71">
        <v>5</v>
      </c>
      <c r="M29" s="71">
        <v>2</v>
      </c>
      <c r="N29" s="27" t="s">
        <v>12</v>
      </c>
      <c r="O29" s="27">
        <v>2</v>
      </c>
      <c r="P29" s="28"/>
      <c r="Q29" s="29"/>
      <c r="R29" s="29"/>
      <c r="S29" s="117">
        <f>IFERROR(IF(K29="FOR",5,IF(K29="ART",VLOOKUP(P29,Tables!$L$3:$M$29,2,FALSE)+IF(Q29="",0,VLOOKUP(Q29,Tables!$B$33:$C$40,2,FALSE)),IF(R29="2-",ROUNDUP(0.75*(VLOOKUP(K29,Tables!$E$3:$F$18,2,FALSE)+VLOOKUP(L29,Tables!$O$3:$P$10,2,FALSE)+VLOOKUP(M29,Tables!$R$3:$S$9,2,FALSE)+IF(N29="",0,VLOOKUP(N29,Tables!$B$3:$C$5,2,FALSE))+IF(P29="",0,VLOOKUP(P29,Tables!$L$3:$M$29,2,FALSE))+IF(Q29="",0,VLOOKUP(Q29,Tables!$B$33:$C$40,2,FALSE))),0),VLOOKUP(K29,Tables!$E$3:$F$18,2,FALSE)+VLOOKUP(L29,Tables!$O$3:$P$10,2,FALSE)+VLOOKUP(M29,Tables!$R$3:$S$9,2,FALSE)+IF(N29="",0,VLOOKUP(N29,Tables!$B$3:$C$5,2,FALSE))+IF(P29="",0,VLOOKUP(P29,Tables!$L$3:$M$29,2,FALSE))+IF(Q29="",0,VLOOKUP(Q29,Tables!$B$33:$C$40,2,FALSE))))),"")</f>
        <v>20</v>
      </c>
      <c r="T29" s="118" t="str">
        <f t="shared" si="0"/>
        <v/>
      </c>
      <c r="U29" s="85"/>
    </row>
    <row r="30" spans="2:21" ht="15.6">
      <c r="B30" s="85"/>
      <c r="C30" s="65"/>
      <c r="D30" s="59">
        <v>1</v>
      </c>
      <c r="E30" s="60">
        <v>1</v>
      </c>
      <c r="F30" s="66"/>
      <c r="G30" s="51">
        <v>0</v>
      </c>
      <c r="H30" s="52">
        <v>4</v>
      </c>
      <c r="I30" s="144" t="s">
        <v>279</v>
      </c>
      <c r="J30" s="145" t="s">
        <v>279</v>
      </c>
      <c r="K30" s="27" t="s">
        <v>91</v>
      </c>
      <c r="L30" s="71">
        <v>5</v>
      </c>
      <c r="M30" s="71">
        <v>3</v>
      </c>
      <c r="N30" s="27" t="s">
        <v>14</v>
      </c>
      <c r="O30" s="27">
        <v>2</v>
      </c>
      <c r="P30" s="28"/>
      <c r="Q30" s="29"/>
      <c r="R30" s="29"/>
      <c r="S30" s="117">
        <f>IFERROR(IF(K30="FOR",5,IF(K30="ART",VLOOKUP(P30,Tables!$L$3:$M$29,2,FALSE)+IF(Q30="",0,VLOOKUP(Q30,Tables!$B$33:$C$40,2,FALSE)),IF(R30="2-",ROUNDUP(0.75*(VLOOKUP(K30,Tables!$E$3:$F$18,2,FALSE)+VLOOKUP(L30,Tables!$O$3:$P$10,2,FALSE)+VLOOKUP(M30,Tables!$R$3:$S$9,2,FALSE)+IF(N30="",0,VLOOKUP(N30,Tables!$B$3:$C$5,2,FALSE))+IF(P30="",0,VLOOKUP(P30,Tables!$L$3:$M$29,2,FALSE))+IF(Q30="",0,VLOOKUP(Q30,Tables!$B$33:$C$40,2,FALSE))),0),VLOOKUP(K30,Tables!$E$3:$F$18,2,FALSE)+VLOOKUP(L30,Tables!$O$3:$P$10,2,FALSE)+VLOOKUP(M30,Tables!$R$3:$S$9,2,FALSE)+IF(N30="",0,VLOOKUP(N30,Tables!$B$3:$C$5,2,FALSE))+IF(P30="",0,VLOOKUP(P30,Tables!$L$3:$M$29,2,FALSE))+IF(Q30="",0,VLOOKUP(Q30,Tables!$B$33:$C$40,2,FALSE))))),"")</f>
        <v>17</v>
      </c>
      <c r="T30" s="118" t="str">
        <f t="shared" si="0"/>
        <v>Y</v>
      </c>
      <c r="U30" s="85"/>
    </row>
    <row r="31" spans="2:21" ht="15.6">
      <c r="B31" s="85"/>
      <c r="C31" s="65"/>
      <c r="D31" s="59">
        <v>1</v>
      </c>
      <c r="E31" s="60">
        <v>1</v>
      </c>
      <c r="F31" s="66"/>
      <c r="G31" s="51">
        <v>0</v>
      </c>
      <c r="H31" s="52">
        <v>2</v>
      </c>
      <c r="I31" s="144" t="s">
        <v>280</v>
      </c>
      <c r="J31" s="145" t="s">
        <v>280</v>
      </c>
      <c r="K31" s="27" t="s">
        <v>48</v>
      </c>
      <c r="L31" s="71">
        <v>3</v>
      </c>
      <c r="M31" s="71">
        <v>0</v>
      </c>
      <c r="N31" s="27" t="s">
        <v>12</v>
      </c>
      <c r="O31" s="27">
        <v>1</v>
      </c>
      <c r="P31" s="28" t="s">
        <v>44</v>
      </c>
      <c r="Q31" s="29"/>
      <c r="R31" s="29"/>
      <c r="S31" s="117">
        <f>IFERROR(IF(K31="FOR",5,IF(K31="ART",VLOOKUP(P31,Tables!$L$3:$M$29,2,FALSE)+IF(Q31="",0,VLOOKUP(Q31,Tables!$B$33:$C$40,2,FALSE)),IF(R31="2-",ROUNDUP(0.75*(VLOOKUP(K31,Tables!$E$3:$F$18,2,FALSE)+VLOOKUP(L31,Tables!$O$3:$P$10,2,FALSE)+VLOOKUP(M31,Tables!$R$3:$S$9,2,FALSE)+IF(N31="",0,VLOOKUP(N31,Tables!$B$3:$C$5,2,FALSE))+IF(P31="",0,VLOOKUP(P31,Tables!$L$3:$M$29,2,FALSE))+IF(Q31="",0,VLOOKUP(Q31,Tables!$B$33:$C$40,2,FALSE))),0),VLOOKUP(K31,Tables!$E$3:$F$18,2,FALSE)+VLOOKUP(L31,Tables!$O$3:$P$10,2,FALSE)+VLOOKUP(M31,Tables!$R$3:$S$9,2,FALSE)+IF(N31="",0,VLOOKUP(N31,Tables!$B$3:$C$5,2,FALSE))+IF(P31="",0,VLOOKUP(P31,Tables!$L$3:$M$29,2,FALSE))+IF(Q31="",0,VLOOKUP(Q31,Tables!$B$33:$C$40,2,FALSE))))),"")</f>
        <v>12</v>
      </c>
      <c r="T31" s="118" t="str">
        <f t="shared" si="0"/>
        <v>Y</v>
      </c>
      <c r="U31" s="85"/>
    </row>
    <row r="32" spans="2:21" ht="15.6">
      <c r="B32" s="85"/>
      <c r="C32" s="65"/>
      <c r="D32" s="59"/>
      <c r="E32" s="60"/>
      <c r="F32" s="66"/>
      <c r="G32" s="51">
        <v>0</v>
      </c>
      <c r="H32" s="52">
        <v>4</v>
      </c>
      <c r="I32" s="144" t="s">
        <v>281</v>
      </c>
      <c r="J32" s="145" t="s">
        <v>281</v>
      </c>
      <c r="K32" s="27" t="s">
        <v>48</v>
      </c>
      <c r="L32" s="71">
        <v>2</v>
      </c>
      <c r="M32" s="71">
        <v>0</v>
      </c>
      <c r="N32" s="27" t="s">
        <v>12</v>
      </c>
      <c r="O32" s="27">
        <v>1</v>
      </c>
      <c r="P32" s="28" t="s">
        <v>44</v>
      </c>
      <c r="Q32" s="29"/>
      <c r="R32" s="29"/>
      <c r="S32" s="117">
        <f>IFERROR(IF(K32="FOR",5,IF(K32="ART",VLOOKUP(P32,Tables!$L$3:$M$29,2,FALSE)+IF(Q32="",0,VLOOKUP(Q32,Tables!$B$33:$C$40,2,FALSE)),IF(R32="2-",ROUNDUP(0.75*(VLOOKUP(K32,Tables!$E$3:$F$18,2,FALSE)+VLOOKUP(L32,Tables!$O$3:$P$10,2,FALSE)+VLOOKUP(M32,Tables!$R$3:$S$9,2,FALSE)+IF(N32="",0,VLOOKUP(N32,Tables!$B$3:$C$5,2,FALSE))+IF(P32="",0,VLOOKUP(P32,Tables!$L$3:$M$29,2,FALSE))+IF(Q32="",0,VLOOKUP(Q32,Tables!$B$33:$C$40,2,FALSE))),0),VLOOKUP(K32,Tables!$E$3:$F$18,2,FALSE)+VLOOKUP(L32,Tables!$O$3:$P$10,2,FALSE)+VLOOKUP(M32,Tables!$R$3:$S$9,2,FALSE)+IF(N32="",0,VLOOKUP(N32,Tables!$B$3:$C$5,2,FALSE))+IF(P32="",0,VLOOKUP(P32,Tables!$L$3:$M$29,2,FALSE))+IF(Q32="",0,VLOOKUP(Q32,Tables!$B$33:$C$40,2,FALSE))))),"")</f>
        <v>10</v>
      </c>
      <c r="T32" s="118" t="str">
        <f t="shared" si="0"/>
        <v/>
      </c>
      <c r="U32" s="85"/>
    </row>
    <row r="33" spans="2:21" ht="15.6">
      <c r="B33" s="85"/>
      <c r="C33" s="65"/>
      <c r="D33" s="59"/>
      <c r="E33" s="60"/>
      <c r="F33" s="66"/>
      <c r="G33" s="51">
        <v>0</v>
      </c>
      <c r="H33" s="52">
        <v>2</v>
      </c>
      <c r="I33" s="144" t="s">
        <v>282</v>
      </c>
      <c r="J33" s="145" t="s">
        <v>282</v>
      </c>
      <c r="K33" s="27" t="s">
        <v>48</v>
      </c>
      <c r="L33" s="71">
        <v>2</v>
      </c>
      <c r="M33" s="71">
        <v>0</v>
      </c>
      <c r="N33" s="27" t="s">
        <v>12</v>
      </c>
      <c r="O33" s="27">
        <v>1</v>
      </c>
      <c r="P33" s="28" t="s">
        <v>85</v>
      </c>
      <c r="Q33" s="29"/>
      <c r="R33" s="29"/>
      <c r="S33" s="117">
        <f>IFERROR(IF(K33="FOR",5,IF(K33="ART",VLOOKUP(P33,Tables!$L$3:$M$29,2,FALSE)+IF(Q33="",0,VLOOKUP(Q33,Tables!$B$33:$C$40,2,FALSE)),IF(R33="2-",ROUNDUP(0.75*(VLOOKUP(K33,Tables!$E$3:$F$18,2,FALSE)+VLOOKUP(L33,Tables!$O$3:$P$10,2,FALSE)+VLOOKUP(M33,Tables!$R$3:$S$9,2,FALSE)+IF(N33="",0,VLOOKUP(N33,Tables!$B$3:$C$5,2,FALSE))+IF(P33="",0,VLOOKUP(P33,Tables!$L$3:$M$29,2,FALSE))+IF(Q33="",0,VLOOKUP(Q33,Tables!$B$33:$C$40,2,FALSE))),0),VLOOKUP(K33,Tables!$E$3:$F$18,2,FALSE)+VLOOKUP(L33,Tables!$O$3:$P$10,2,FALSE)+VLOOKUP(M33,Tables!$R$3:$S$9,2,FALSE)+IF(N33="",0,VLOOKUP(N33,Tables!$B$3:$C$5,2,FALSE))+IF(P33="",0,VLOOKUP(P33,Tables!$L$3:$M$29,2,FALSE))+IF(Q33="",0,VLOOKUP(Q33,Tables!$B$33:$C$40,2,FALSE))))),"")</f>
        <v>11</v>
      </c>
      <c r="T33" s="118" t="str">
        <f t="shared" si="0"/>
        <v/>
      </c>
      <c r="U33" s="85"/>
    </row>
    <row r="34" spans="2:21" ht="15.6">
      <c r="B34" s="85"/>
      <c r="C34" s="65"/>
      <c r="D34" s="59">
        <v>1</v>
      </c>
      <c r="E34" s="60"/>
      <c r="F34" s="66"/>
      <c r="G34" s="51">
        <v>0</v>
      </c>
      <c r="H34" s="52">
        <v>2</v>
      </c>
      <c r="I34" s="144" t="s">
        <v>283</v>
      </c>
      <c r="J34" s="145" t="s">
        <v>283</v>
      </c>
      <c r="K34" s="27" t="s">
        <v>48</v>
      </c>
      <c r="L34" s="71">
        <v>3</v>
      </c>
      <c r="M34" s="71">
        <v>0</v>
      </c>
      <c r="N34" s="27" t="s">
        <v>12</v>
      </c>
      <c r="O34" s="27">
        <v>1</v>
      </c>
      <c r="P34" s="28" t="s">
        <v>53</v>
      </c>
      <c r="Q34" s="29"/>
      <c r="R34" s="29"/>
      <c r="S34" s="117">
        <f>IFERROR(IF(K34="FOR",5,IF(K34="ART",VLOOKUP(P34,Tables!$L$3:$M$29,2,FALSE)+IF(Q34="",0,VLOOKUP(Q34,Tables!$B$33:$C$40,2,FALSE)),IF(R34="2-",ROUNDUP(0.75*(VLOOKUP(K34,Tables!$E$3:$F$18,2,FALSE)+VLOOKUP(L34,Tables!$O$3:$P$10,2,FALSE)+VLOOKUP(M34,Tables!$R$3:$S$9,2,FALSE)+IF(N34="",0,VLOOKUP(N34,Tables!$B$3:$C$5,2,FALSE))+IF(P34="",0,VLOOKUP(P34,Tables!$L$3:$M$29,2,FALSE))+IF(Q34="",0,VLOOKUP(Q34,Tables!$B$33:$C$40,2,FALSE))),0),VLOOKUP(K34,Tables!$E$3:$F$18,2,FALSE)+VLOOKUP(L34,Tables!$O$3:$P$10,2,FALSE)+VLOOKUP(M34,Tables!$R$3:$S$9,2,FALSE)+IF(N34="",0,VLOOKUP(N34,Tables!$B$3:$C$5,2,FALSE))+IF(P34="",0,VLOOKUP(P34,Tables!$L$3:$M$29,2,FALSE))+IF(Q34="",0,VLOOKUP(Q34,Tables!$B$33:$C$40,2,FALSE))))),"")</f>
        <v>14</v>
      </c>
      <c r="T34" s="118" t="str">
        <f t="shared" si="0"/>
        <v>Y</v>
      </c>
      <c r="U34" s="85"/>
    </row>
    <row r="35" spans="2:21" ht="15.6">
      <c r="B35" s="85"/>
      <c r="C35" s="65"/>
      <c r="D35" s="59"/>
      <c r="E35" s="60"/>
      <c r="F35" s="66"/>
      <c r="G35" s="51"/>
      <c r="H35" s="52"/>
      <c r="I35" s="144"/>
      <c r="J35" s="145"/>
      <c r="K35" s="27"/>
      <c r="L35" s="71"/>
      <c r="M35" s="71"/>
      <c r="N35" s="27"/>
      <c r="O35" s="27"/>
      <c r="P35" s="28"/>
      <c r="Q35" s="29"/>
      <c r="R35" s="29"/>
      <c r="S35" s="117" t="str">
        <f>IFERROR(IF(K35="FOR",5,IF(K35="ART",VLOOKUP(P35,Tables!$L$3:$M$29,2,FALSE)+IF(Q35="",0,VLOOKUP(Q35,Tables!$B$33:$C$40,2,FALSE)),IF(R35="2-",ROUNDUP(0.75*(VLOOKUP(K35,Tables!$E$3:$F$18,2,FALSE)+VLOOKUP(L35,Tables!$O$3:$P$10,2,FALSE)+VLOOKUP(M35,Tables!$R$3:$S$9,2,FALSE)+IF(N35="",0,VLOOKUP(N35,Tables!$B$3:$C$5,2,FALSE))+IF(P35="",0,VLOOKUP(P35,Tables!$L$3:$M$29,2,FALSE))+IF(Q35="",0,VLOOKUP(Q35,Tables!$B$33:$C$40,2,FALSE))),0),VLOOKUP(K35,Tables!$E$3:$F$18,2,FALSE)+VLOOKUP(L35,Tables!$O$3:$P$10,2,FALSE)+VLOOKUP(M35,Tables!$R$3:$S$9,2,FALSE)+IF(N35="",0,VLOOKUP(N35,Tables!$B$3:$C$5,2,FALSE))+IF(P35="",0,VLOOKUP(P35,Tables!$L$3:$M$29,2,FALSE))+IF(Q35="",0,VLOOKUP(Q35,Tables!$B$33:$C$40,2,FALSE))))),"")</f>
        <v/>
      </c>
      <c r="T35" s="118" t="str">
        <f t="shared" si="0"/>
        <v/>
      </c>
      <c r="U35" s="85"/>
    </row>
    <row r="36" spans="2:21" ht="15.6">
      <c r="B36" s="85"/>
      <c r="C36" s="65"/>
      <c r="D36" s="59"/>
      <c r="E36" s="60"/>
      <c r="F36" s="66"/>
      <c r="G36" s="51"/>
      <c r="H36" s="52"/>
      <c r="I36" s="144"/>
      <c r="J36" s="145"/>
      <c r="K36" s="27"/>
      <c r="L36" s="71"/>
      <c r="M36" s="71"/>
      <c r="N36" s="27"/>
      <c r="O36" s="27"/>
      <c r="P36" s="28"/>
      <c r="Q36" s="29"/>
      <c r="R36" s="29"/>
      <c r="S36" s="117" t="str">
        <f>IFERROR(IF(K36="FOR",5,IF(K36="ART",VLOOKUP(P36,Tables!$L$3:$M$29,2,FALSE)+IF(Q36="",0,VLOOKUP(Q36,Tables!$B$33:$C$40,2,FALSE)),IF(R36="2-",ROUNDUP(0.75*(VLOOKUP(K36,Tables!$E$3:$F$18,2,FALSE)+VLOOKUP(L36,Tables!$O$3:$P$10,2,FALSE)+VLOOKUP(M36,Tables!$R$3:$S$9,2,FALSE)+IF(N36="",0,VLOOKUP(N36,Tables!$B$3:$C$5,2,FALSE))+IF(P36="",0,VLOOKUP(P36,Tables!$L$3:$M$29,2,FALSE))+IF(Q36="",0,VLOOKUP(Q36,Tables!$B$33:$C$40,2,FALSE))),0),VLOOKUP(K36,Tables!$E$3:$F$18,2,FALSE)+VLOOKUP(L36,Tables!$O$3:$P$10,2,FALSE)+VLOOKUP(M36,Tables!$R$3:$S$9,2,FALSE)+IF(N36="",0,VLOOKUP(N36,Tables!$B$3:$C$5,2,FALSE))+IF(P36="",0,VLOOKUP(P36,Tables!$L$3:$M$29,2,FALSE))+IF(Q36="",0,VLOOKUP(Q36,Tables!$B$33:$C$40,2,FALSE))))),"")</f>
        <v/>
      </c>
      <c r="T36" s="118" t="str">
        <f t="shared" si="0"/>
        <v/>
      </c>
      <c r="U36" s="85"/>
    </row>
    <row r="37" spans="2:21" ht="15.6">
      <c r="B37" s="85"/>
      <c r="C37" s="65"/>
      <c r="D37" s="59"/>
      <c r="E37" s="60"/>
      <c r="F37" s="66"/>
      <c r="G37" s="51"/>
      <c r="H37" s="52"/>
      <c r="I37" s="144"/>
      <c r="J37" s="145"/>
      <c r="K37" s="27"/>
      <c r="L37" s="71"/>
      <c r="M37" s="71"/>
      <c r="N37" s="27"/>
      <c r="O37" s="27"/>
      <c r="P37" s="28"/>
      <c r="Q37" s="29"/>
      <c r="R37" s="29"/>
      <c r="S37" s="117" t="str">
        <f>IFERROR(IF(K37="FOR",5,IF(K37="ART",VLOOKUP(P37,Tables!$L$3:$M$29,2,FALSE)+IF(Q37="",0,VLOOKUP(Q37,Tables!$B$33:$C$40,2,FALSE)),IF(R37="2-",ROUNDUP(0.75*(VLOOKUP(K37,Tables!$E$3:$F$18,2,FALSE)+VLOOKUP(L37,Tables!$O$3:$P$10,2,FALSE)+VLOOKUP(M37,Tables!$R$3:$S$9,2,FALSE)+IF(N37="",0,VLOOKUP(N37,Tables!$B$3:$C$5,2,FALSE))+IF(P37="",0,VLOOKUP(P37,Tables!$L$3:$M$29,2,FALSE))+IF(Q37="",0,VLOOKUP(Q37,Tables!$B$33:$C$40,2,FALSE))),0),VLOOKUP(K37,Tables!$E$3:$F$18,2,FALSE)+VLOOKUP(L37,Tables!$O$3:$P$10,2,FALSE)+VLOOKUP(M37,Tables!$R$3:$S$9,2,FALSE)+IF(N37="",0,VLOOKUP(N37,Tables!$B$3:$C$5,2,FALSE))+IF(P37="",0,VLOOKUP(P37,Tables!$L$3:$M$29,2,FALSE))+IF(Q37="",0,VLOOKUP(Q37,Tables!$B$33:$C$40,2,FALSE))))),"")</f>
        <v/>
      </c>
      <c r="T37" s="118" t="str">
        <f t="shared" si="0"/>
        <v/>
      </c>
      <c r="U37" s="85"/>
    </row>
    <row r="38" spans="2:21" ht="15.6">
      <c r="B38" s="85"/>
      <c r="C38" s="65"/>
      <c r="D38" s="59"/>
      <c r="E38" s="60"/>
      <c r="F38" s="66"/>
      <c r="G38" s="51"/>
      <c r="H38" s="52"/>
      <c r="I38" s="144"/>
      <c r="J38" s="145"/>
      <c r="K38" s="27"/>
      <c r="L38" s="71"/>
      <c r="M38" s="71"/>
      <c r="N38" s="27"/>
      <c r="O38" s="27"/>
      <c r="P38" s="28"/>
      <c r="Q38" s="29"/>
      <c r="R38" s="29"/>
      <c r="S38" s="117" t="str">
        <f>IFERROR(IF(K38="FOR",5,IF(K38="ART",VLOOKUP(P38,Tables!$L$3:$M$29,2,FALSE)+IF(Q38="",0,VLOOKUP(Q38,Tables!$B$33:$C$40,2,FALSE)),IF(R38="2-",ROUNDUP(0.75*(VLOOKUP(K38,Tables!$E$3:$F$18,2,FALSE)+VLOOKUP(L38,Tables!$O$3:$P$10,2,FALSE)+VLOOKUP(M38,Tables!$R$3:$S$9,2,FALSE)+IF(N38="",0,VLOOKUP(N38,Tables!$B$3:$C$5,2,FALSE))+IF(P38="",0,VLOOKUP(P38,Tables!$L$3:$M$29,2,FALSE))+IF(Q38="",0,VLOOKUP(Q38,Tables!$B$33:$C$40,2,FALSE))),0),VLOOKUP(K38,Tables!$E$3:$F$18,2,FALSE)+VLOOKUP(L38,Tables!$O$3:$P$10,2,FALSE)+VLOOKUP(M38,Tables!$R$3:$S$9,2,FALSE)+IF(N38="",0,VLOOKUP(N38,Tables!$B$3:$C$5,2,FALSE))+IF(P38="",0,VLOOKUP(P38,Tables!$L$3:$M$29,2,FALSE))+IF(Q38="",0,VLOOKUP(Q38,Tables!$B$33:$C$40,2,FALSE))))),"")</f>
        <v/>
      </c>
      <c r="T38" s="118" t="str">
        <f t="shared" si="0"/>
        <v/>
      </c>
      <c r="U38" s="85"/>
    </row>
    <row r="39" spans="2:21" ht="15.6">
      <c r="B39" s="85"/>
      <c r="C39" s="65"/>
      <c r="D39" s="59"/>
      <c r="E39" s="60"/>
      <c r="F39" s="66"/>
      <c r="G39" s="51"/>
      <c r="H39" s="52"/>
      <c r="I39" s="144"/>
      <c r="J39" s="145"/>
      <c r="K39" s="27"/>
      <c r="L39" s="71"/>
      <c r="M39" s="71"/>
      <c r="N39" s="27"/>
      <c r="O39" s="27"/>
      <c r="P39" s="28"/>
      <c r="Q39" s="29"/>
      <c r="R39" s="29"/>
      <c r="S39" s="117" t="str">
        <f>IFERROR(IF(K39="FOR",5,IF(K39="ART",VLOOKUP(P39,Tables!$L$3:$M$29,2,FALSE)+IF(Q39="",0,VLOOKUP(Q39,Tables!$B$33:$C$40,2,FALSE)),IF(R39="2-",ROUNDUP(0.75*(VLOOKUP(K39,Tables!$E$3:$F$18,2,FALSE)+VLOOKUP(L39,Tables!$O$3:$P$10,2,FALSE)+VLOOKUP(M39,Tables!$R$3:$S$9,2,FALSE)+IF(N39="",0,VLOOKUP(N39,Tables!$B$3:$C$5,2,FALSE))+IF(P39="",0,VLOOKUP(P39,Tables!$L$3:$M$29,2,FALSE))+IF(Q39="",0,VLOOKUP(Q39,Tables!$B$33:$C$40,2,FALSE))),0),VLOOKUP(K39,Tables!$E$3:$F$18,2,FALSE)+VLOOKUP(L39,Tables!$O$3:$P$10,2,FALSE)+VLOOKUP(M39,Tables!$R$3:$S$9,2,FALSE)+IF(N39="",0,VLOOKUP(N39,Tables!$B$3:$C$5,2,FALSE))+IF(P39="",0,VLOOKUP(P39,Tables!$L$3:$M$29,2,FALSE))+IF(Q39="",0,VLOOKUP(Q39,Tables!$B$33:$C$40,2,FALSE))))),"")</f>
        <v/>
      </c>
      <c r="T39" s="118" t="str">
        <f t="shared" si="0"/>
        <v/>
      </c>
      <c r="U39" s="85"/>
    </row>
    <row r="40" spans="2:21" ht="16.2" thickBot="1">
      <c r="B40" s="85"/>
      <c r="C40" s="67"/>
      <c r="D40" s="68"/>
      <c r="E40" s="69"/>
      <c r="F40" s="70"/>
      <c r="G40" s="53"/>
      <c r="H40" s="54"/>
      <c r="I40" s="174"/>
      <c r="J40" s="175"/>
      <c r="K40" s="30"/>
      <c r="L40" s="30"/>
      <c r="M40" s="30"/>
      <c r="N40" s="30"/>
      <c r="O40" s="82"/>
      <c r="P40" s="31"/>
      <c r="Q40" s="32"/>
      <c r="R40" s="32"/>
      <c r="S40" s="117" t="str">
        <f>IFERROR(IF(K40="FOR",5,IF(K40="ART",VLOOKUP(P40,Tables!$L$3:$M$29,2,FALSE)+IF(Q40="",0,VLOOKUP(Q40,Tables!$B$33:$C$40,2,FALSE)),IF(R40="2-",ROUNDUP(0.75*(VLOOKUP(K40,Tables!$E$3:$F$18,2,FALSE)+VLOOKUP(L40,Tables!$O$3:$P$10,2,FALSE)+VLOOKUP(M40,Tables!$R$3:$S$9,2,FALSE)+IF(N40="",0,VLOOKUP(N40,Tables!$B$3:$C$5,2,FALSE))+IF(P40="",0,VLOOKUP(P40,Tables!$L$3:$M$29,2,FALSE))+IF(Q40="",0,VLOOKUP(Q40,Tables!$B$33:$C$40,2,FALSE))),0),VLOOKUP(K40,Tables!$E$3:$F$18,2,FALSE)+VLOOKUP(L40,Tables!$O$3:$P$10,2,FALSE)+VLOOKUP(M40,Tables!$R$3:$S$9,2,FALSE)+IF(N40="",0,VLOOKUP(N40,Tables!$B$3:$C$5,2,FALSE))+IF(P40="",0,VLOOKUP(P40,Tables!$L$3:$M$29,2,FALSE))+IF(Q40="",0,VLOOKUP(Q40,Tables!$B$33:$C$40,2,FALSE))))),"")</f>
        <v/>
      </c>
      <c r="T40" s="118" t="str">
        <f t="shared" si="0"/>
        <v/>
      </c>
      <c r="U40" s="85"/>
    </row>
    <row r="41" spans="2:21" ht="15.6">
      <c r="B41" s="85"/>
      <c r="C41" s="57"/>
      <c r="D41" s="58"/>
      <c r="E41" s="58"/>
      <c r="F41" s="58"/>
      <c r="G41" s="37"/>
      <c r="H41" s="37"/>
      <c r="I41" s="39"/>
      <c r="J41" s="39"/>
      <c r="K41" s="37"/>
      <c r="L41" s="37"/>
      <c r="M41" s="38"/>
      <c r="N41" s="39"/>
      <c r="O41" s="39"/>
      <c r="P41" s="39"/>
      <c r="Q41" s="39"/>
      <c r="R41" s="39"/>
      <c r="S41" s="40"/>
      <c r="T41" s="119"/>
      <c r="U41" s="85"/>
    </row>
    <row r="42" spans="2:21" ht="18">
      <c r="B42" s="85"/>
      <c r="C42" s="41"/>
      <c r="D42" s="131"/>
      <c r="E42" s="162" t="s">
        <v>63</v>
      </c>
      <c r="F42" s="163"/>
      <c r="G42" s="161" t="s">
        <v>64</v>
      </c>
      <c r="H42" s="163"/>
      <c r="I42" s="33"/>
      <c r="J42" s="90" t="s">
        <v>139</v>
      </c>
      <c r="K42" s="120" t="s">
        <v>191</v>
      </c>
      <c r="L42" s="33"/>
      <c r="M42" s="183" t="s">
        <v>66</v>
      </c>
      <c r="N42" s="184"/>
      <c r="O42" s="185"/>
      <c r="Q42" s="176" t="s">
        <v>138</v>
      </c>
      <c r="R42" s="177"/>
      <c r="S42" s="42"/>
      <c r="T42" s="119"/>
      <c r="U42" s="85"/>
    </row>
    <row r="43" spans="2:21" ht="15" customHeight="1">
      <c r="B43" s="85"/>
      <c r="C43" s="41"/>
      <c r="D43" s="132" t="s">
        <v>141</v>
      </c>
      <c r="E43" s="191" t="s">
        <v>187</v>
      </c>
      <c r="F43" s="192"/>
      <c r="G43" s="189"/>
      <c r="H43" s="190"/>
      <c r="I43" s="33"/>
      <c r="J43" s="90" t="s">
        <v>179</v>
      </c>
      <c r="L43" s="33"/>
      <c r="M43" s="180" t="s">
        <v>59</v>
      </c>
      <c r="N43" s="181"/>
      <c r="O43" s="182"/>
      <c r="Q43" s="178" t="s">
        <v>134</v>
      </c>
      <c r="R43" s="179"/>
      <c r="S43" s="93"/>
      <c r="T43" s="119"/>
      <c r="U43" s="85"/>
    </row>
    <row r="44" spans="2:21" ht="13.8">
      <c r="B44" s="85"/>
      <c r="C44" s="43"/>
      <c r="D44" s="132" t="s">
        <v>142</v>
      </c>
      <c r="E44" s="191" t="s">
        <v>183</v>
      </c>
      <c r="F44" s="192"/>
      <c r="G44" s="189" t="s">
        <v>130</v>
      </c>
      <c r="H44" s="190"/>
      <c r="I44" s="33"/>
      <c r="J44" s="89"/>
      <c r="L44" s="33"/>
      <c r="M44" s="46"/>
      <c r="S44" s="93"/>
      <c r="T44" s="119"/>
      <c r="U44" s="85"/>
    </row>
    <row r="45" spans="2:21" ht="15.6">
      <c r="B45" s="85"/>
      <c r="C45" s="44"/>
      <c r="D45" s="132" t="s">
        <v>143</v>
      </c>
      <c r="E45" s="191" t="s">
        <v>187</v>
      </c>
      <c r="F45" s="192"/>
      <c r="G45" s="189"/>
      <c r="H45" s="190"/>
      <c r="I45" s="46"/>
      <c r="J45" s="161" t="s">
        <v>20</v>
      </c>
      <c r="K45" s="162"/>
      <c r="L45" s="162"/>
      <c r="M45" s="163"/>
      <c r="O45" s="161" t="s">
        <v>21</v>
      </c>
      <c r="P45" s="162"/>
      <c r="Q45" s="162"/>
      <c r="R45" s="163"/>
      <c r="S45" s="93"/>
      <c r="T45" s="119"/>
      <c r="U45" s="85"/>
    </row>
    <row r="46" spans="2:21" ht="13.8">
      <c r="B46" s="85"/>
      <c r="C46" s="45"/>
      <c r="D46" s="132" t="s">
        <v>144</v>
      </c>
      <c r="E46" s="191"/>
      <c r="F46" s="192"/>
      <c r="G46" s="189"/>
      <c r="H46" s="190"/>
      <c r="J46" s="140" t="s">
        <v>290</v>
      </c>
      <c r="K46" s="95" t="s">
        <v>137</v>
      </c>
      <c r="L46" s="125">
        <v>0.33</v>
      </c>
      <c r="M46" s="125">
        <v>0.5</v>
      </c>
      <c r="O46" s="140" t="s">
        <v>290</v>
      </c>
      <c r="P46" s="34" t="s">
        <v>137</v>
      </c>
      <c r="Q46" s="125">
        <v>0.33</v>
      </c>
      <c r="R46" s="125">
        <v>0.5</v>
      </c>
      <c r="S46" s="93"/>
      <c r="T46" s="119"/>
      <c r="U46" s="85"/>
    </row>
    <row r="47" spans="2:21" ht="15.6">
      <c r="B47" s="85"/>
      <c r="C47" s="44"/>
      <c r="J47" s="141">
        <f>IFERROR(ROUNDUP(K47/SUM(K47,P47,K52,P52),2),0)</f>
        <v>0.29000000000000004</v>
      </c>
      <c r="K47" s="35">
        <f>IFERROR($C$6*$O$6,0)+IFERROR($C$7*$O$7,0)+IFERROR($C$8*$O$8,0)+IFERROR($C$9*$O$9,0)+IFERROR($C$10*$O$10,0)+IFERROR($C$11*$O$11,0)+IFERROR($C$12*$O$12,0)+IFERROR($C$13*$O$13,0)+IFERROR($C$14*$O$14,0)+IFERROR($C$15*$O$15,0)+IFERROR($C$16*$O$16,0)+IFERROR($C$17*$O$17,0)+IFERROR($C$18*$O$18,0)+IFERROR($C$19*$O$19,0)+IFERROR($C$20*$O$20,0)+IFERROR($C$21*$O$21,0)+IFERROR($C$22*$O$22,0)+IFERROR($C$23*$O$23,0)+IFERROR($C$24*$O$24,0)+IFERROR($C$25*$O$25,0)+IFERROR($C$26*$O$26,0)+IFERROR($C$27*$O$27,0)+IFERROR($C$28*$O$28,0)+IFERROR($C$29*$O$29,0)+IFERROR($C$30*$O$30,0)+IFERROR($C$31*$O$31,0)+IFERROR($C$32*$O$32,0)+IFERROR($C$33*$O$33,0)+IFERROR($C$34*$O$34,0)+IFERROR($C$35*$O$35,0)+IFERROR($C$36*$O$36,0)+IFERROR($C$37*$O$37,0)+IFERROR($C$38*$O$38,0)+IFERROR($C$39*$O$39,0)+IFERROR($C$40*$O$40,0)+IFERROR(VLOOKUP(E43,Tables!O33:P43,2,FALSE),0)</f>
        <v>10</v>
      </c>
      <c r="L47" s="36">
        <f>ROUNDUP(K47/3,0)</f>
        <v>4</v>
      </c>
      <c r="M47" s="96">
        <f>ROUNDUP(K47/2,0)</f>
        <v>5</v>
      </c>
      <c r="O47" s="141">
        <f>IFERROR(ROUNDUP(P47/SUM(K47,P47,K52,P52),2),0)</f>
        <v>0.4</v>
      </c>
      <c r="P47" s="35">
        <f>IFERROR($D$6*$O$6,0)+IFERROR($D$7*$O$7,0)+IFERROR($D$8*$O$8,0)+IFERROR($D$9*$O$9,0)+IFERROR($D$10*$O$10,0)+IFERROR($D$11*$O$11,0)+IFERROR($D$12*$O$12,0)+IFERROR($D$13*$O$13,0)+IFERROR($D$14*$O$14,0)+IFERROR($D$15*$O$15,0)+IFERROR($D$16*$O$16,0)+IFERROR($D$17*$O$17,0)+IFERROR($D$18*$O$18,0)+IFERROR($D$19*$O$19,0)+IFERROR($D$20*$O$20,0)+IFERROR($D$21*$O$21,0)+IFERROR($D$22*$O$22,0)+IFERROR($D$23*$O$23,0)+IFERROR($D$24*$O$24,0)+IFERROR($D$25*$O$25,0)+IFERROR($D$26*$O$26,0)+IFERROR($D$27*$O$27,0)+IFERROR($D$28*$O$28,0)+IFERROR($D$29*$O$29,0)+IFERROR($D$30*$O$30,0)+IFERROR($D$31*$O$31,0)+IFERROR($D$32*$O$32,0)+IFERROR($D$33*$O$33,0)+IFERROR($D$34*$O$34,0)+IFERROR($D$35*$O$35,0)+IFERROR($D$36*$O$36,0)+IFERROR($D$37*$O$37,0)+IFERROR($D$38*$O$38,0)+IFERROR($D$39*$O$39,0)+IFERROR($D$40*$O$40,0)+IFERROR(VLOOKUP(E44,Tables!O33:P43,2,FALSE),0)</f>
        <v>14</v>
      </c>
      <c r="Q47" s="36">
        <f>ROUNDUP(P47/3,0)</f>
        <v>5</v>
      </c>
      <c r="R47" s="96">
        <f>ROUNDUP(P47/2,0)</f>
        <v>7</v>
      </c>
      <c r="S47" s="42"/>
      <c r="T47" s="119"/>
      <c r="U47" s="85"/>
    </row>
    <row r="48" spans="2:21" ht="18">
      <c r="B48" s="85"/>
      <c r="C48" s="41"/>
      <c r="D48" s="212" t="s">
        <v>214</v>
      </c>
      <c r="E48" s="213"/>
      <c r="F48" s="213"/>
      <c r="G48" s="213"/>
      <c r="H48" s="214"/>
      <c r="J48" s="101" t="s">
        <v>67</v>
      </c>
      <c r="K48" s="158">
        <f>IFERROR($C$6*$S$6,0)+IFERROR($C$7*$S$7,0)+IFERROR($C$8*$S$8,0)+IFERROR($C$9*$S$9,0)+IFERROR($C$10*$S$10,0)+IFERROR($C$11*$S$11,0)+IFERROR($C$12*$S$12,0)+IFERROR($C$13*$S$13,0)+IFERROR($C$14*$S$14,0)+IFERROR($C$15*$S$15,0)+IFERROR($C$16*$S$16,0)+IFERROR($C$17*$S$17,0)+IFERROR($C$18*$S$18,0)+IFERROR($C$19*$S$19,0)+IFERROR($C$20*$S$20,0)+IFERROR($C$21*$S$21,0)+IFERROR($C$22*$S$22,0)+IFERROR($C$23*$S$23,0)+IFERROR($C$24*$S$24,0)+IFERROR($C$25*$S$25,0)+IFERROR($C$26*$S$26,0)+IFERROR($C$27*$S$27,0)+IFERROR($C$28*$S$28,0)+IFERROR($C$29*$S$29,0)+IFERROR($C$30*$S$30,0)+IFERROR($C$31*$S$31,0)+IFERROR($C$32*$S$32,0)+IFERROR($C$33*$S$33,0)+IFERROR($C$34*$S$34,0)+IFERROR($C$35*$S$35,0)+IFERROR($C$36*$S$36,0)+IFERROR($C$37*$S$37,0)+IFERROR($C$38*$S$38,0)+IFERROR($C$39*$S$39,0)+IFERROR($C$40*$S$40,0) +IFERROR(VLOOKUP(E43,Tables!L33:M43,2,FALSE),0)+IFERROR(VLOOKUP(G43,Tables!R33:S37,2,FALSE),0)</f>
        <v>117</v>
      </c>
      <c r="L48" s="159"/>
      <c r="M48" s="160"/>
      <c r="O48" s="101" t="s">
        <v>67</v>
      </c>
      <c r="P48" s="158">
        <f>IFERROR($D$6*$S$6,0)+IFERROR($D$7*$S$7,0)+IFERROR($D$8*$S$8,0)+IFERROR($D$9*$S$9,0)+IFERROR($D$10*$S$10,0)+IFERROR($D$11*$S$11,0)+IFERROR($D$12*$S$12,0)+IFERROR($D$13*$S$13,0)+IFERROR($D$14*$S$14,0)+IFERROR($D$15*$S$15,0)+IFERROR($D$16*$S$16,0)+IFERROR($D$17*$S$17,0)+IFERROR($D$18*$S$18,0)+IFERROR($D$19*$S$19,0)+IFERROR($D$20*$S$20,0)+IFERROR($D$21*$S$21,0)+IFERROR($D$22*$S$22,0)+IFERROR($D$23*$S$23,0)+IFERROR($D$24*$S$24,0)+IFERROR($D$25*$S$25,0)+IFERROR($D$26*$S$26,0)+IFERROR($D$27*$S$27,0)+IFERROR($D$28*$S$28,0)+IFERROR($D$29*$S$29,0)+IFERROR($D$30*$S$30,0)+IFERROR($D$31*$S$31,0)+IFERROR($D$32*$S$32,0)+IFERROR($D$33*$S$33,0)+IFERROR($D$34*$S$34,0)+IFERROR($D$35*$S$35,0)+IFERROR($D$36*$S$36,0)+IFERROR($D$37*$S$37,0)+IFERROR($D$38*$S$38,0)+IFERROR($D$39*$S$39,0)+IFERROR($D$40*$S$40,0) +IFERROR(VLOOKUP(E44,Tables!L33:M43,2,FALSE),0)+IFERROR(VLOOKUP(G44,Tables!R33:S37,2,FALSE),0)</f>
        <v>152</v>
      </c>
      <c r="Q48" s="159"/>
      <c r="R48" s="160"/>
      <c r="S48" s="42"/>
      <c r="T48" s="119"/>
      <c r="U48" s="85"/>
    </row>
    <row r="49" spans="2:21" ht="13.8">
      <c r="B49" s="85"/>
      <c r="C49" s="41"/>
      <c r="D49" s="186" t="s">
        <v>196</v>
      </c>
      <c r="E49" s="187"/>
      <c r="F49" s="187"/>
      <c r="G49" s="187"/>
      <c r="H49" s="188"/>
      <c r="I49" s="33"/>
      <c r="S49" s="42"/>
      <c r="T49" s="119"/>
      <c r="U49" s="85"/>
    </row>
    <row r="50" spans="2:21" ht="15.6">
      <c r="B50" s="85"/>
      <c r="C50" s="41"/>
      <c r="D50" s="186"/>
      <c r="E50" s="187"/>
      <c r="F50" s="187"/>
      <c r="G50" s="187"/>
      <c r="H50" s="188"/>
      <c r="I50" s="33"/>
      <c r="J50" s="161" t="s">
        <v>22</v>
      </c>
      <c r="K50" s="162"/>
      <c r="L50" s="162"/>
      <c r="M50" s="163"/>
      <c r="O50" s="161" t="s">
        <v>23</v>
      </c>
      <c r="P50" s="162"/>
      <c r="Q50" s="162"/>
      <c r="R50" s="163"/>
      <c r="S50" s="42"/>
      <c r="T50" s="119"/>
      <c r="U50" s="85"/>
    </row>
    <row r="51" spans="2:21" ht="13.8">
      <c r="B51" s="85"/>
      <c r="C51" s="41"/>
      <c r="D51" s="186"/>
      <c r="E51" s="187"/>
      <c r="F51" s="187"/>
      <c r="G51" s="187"/>
      <c r="H51" s="188"/>
      <c r="I51" s="33"/>
      <c r="J51" s="140" t="s">
        <v>290</v>
      </c>
      <c r="K51" s="126" t="s">
        <v>137</v>
      </c>
      <c r="L51" s="125">
        <v>0.33</v>
      </c>
      <c r="M51" s="125">
        <v>0.5</v>
      </c>
      <c r="O51" s="140" t="s">
        <v>290</v>
      </c>
      <c r="P51" s="34" t="s">
        <v>137</v>
      </c>
      <c r="Q51" s="125">
        <v>0.33</v>
      </c>
      <c r="R51" s="125">
        <v>0.5</v>
      </c>
      <c r="S51" s="42"/>
      <c r="T51" s="119"/>
      <c r="U51" s="85"/>
    </row>
    <row r="52" spans="2:21" ht="15.6">
      <c r="B52" s="85"/>
      <c r="C52" s="41"/>
      <c r="D52" s="186"/>
      <c r="E52" s="187"/>
      <c r="F52" s="187"/>
      <c r="G52" s="187"/>
      <c r="H52" s="188"/>
      <c r="I52" s="33"/>
      <c r="J52" s="141">
        <f>IFERROR(ROUNDUP(K52/SUM(K47,P47,K52,P52),2),0)</f>
        <v>0.32</v>
      </c>
      <c r="K52" s="35">
        <f>IFERROR($E$6*$O$6,0)+IFERROR($E$7*$O$7,0)+IFERROR($E$8*$O$8,0)+IFERROR($E$9*$O$9,0)+IFERROR($E$10*$O$10,0)+IFERROR($E$11*$O$11,0)+IFERROR($E$12*$O$12,0)+IFERROR($E$13*$O$13,0)+IFERROR($E$14*$O$14,0)+IFERROR($E$15*$O$15,0)+IFERROR($E$16*$O$16,0)+IFERROR($E$17*$O$17,0)+IFERROR($E$18*$O$18,0)+IFERROR($E$19*$O$19,0)+IFERROR($E$20*$O$20,0)+IFERROR($E$21*$O$21,0)+IFERROR($E$22*$O$22,0)+IFERROR($E$23*$O$23,0)+IFERROR($E$24*$O$24,0)+IFERROR($E$25*$O$25,0)+IFERROR($E$26*$O$26,0)+IFERROR($E$27*$O$27,0)+IFERROR($E$28*$O$28,0)+IFERROR($E$29*$O$29,0)+IFERROR($E$30*$O$30,0)+IFERROR($E$31*$O$31,0)+IFERROR($E$32*$O$32,0)+IFERROR($E$33*$O$33,0)+IFERROR($E$34*$O$34,0)+IFERROR($E$35*$O$35,0)+IFERROR($E$36*$O$36,0)+IFERROR($E$37*$O$37,0)+IFERROR($E$38*$O$38,0)+IFERROR($E$39*$O$39,0)+IFERROR($E$40*$O$40,0)+IFERROR(VLOOKUP(E45,Tables!O33:P43,2,FALSE),0)</f>
        <v>11</v>
      </c>
      <c r="L52" s="36">
        <f>ROUNDUP(K52/3,0)</f>
        <v>4</v>
      </c>
      <c r="M52" s="96">
        <f>ROUNDUP(K52/2,0)</f>
        <v>6</v>
      </c>
      <c r="O52" s="141">
        <f>IFERROR(ROUNDUP(P52/SUM(K47,P47,K52,P52),2),0)</f>
        <v>0</v>
      </c>
      <c r="P52" s="35">
        <f>IFERROR($F$6*$O$6,0)+IFERROR($F$7*$O$7,0)+IFERROR($F$8*$O$8,0)+IFERROR($F$9*$O$9,0)+IFERROR($F$10*$O$10,0)+IFERROR($F$11*$O$11,0)+IFERROR($F$12*$O$12,0)+IFERROR($F$13*$O$13,0)+IFERROR($F$14*$O$14,0)+IFERROR($F$15*$O$15,0)+IFERROR($F$16*$O$16,0)+IFERROR($F$17*$O$17,0)+IFERROR($F$18*$O$18,0)+IFERROR($F$19*$O$19,0)+IFERROR($F$20*$O$20,0)+IFERROR($F$21*$O$21,0)+IFERROR($F$22*$O$22,0)+IFERROR($F$23*$O$23,0)+IFERROR($F$24*$O$24,0)+IFERROR($F$25*$O$25,0)+IFERROR($F$26*$O$26,0)+IFERROR($F$27*$O$27,0)+IFERROR($F$28*$O$28,0)+IFERROR($F$29*$O$29,0)+IFERROR($F$30*$O$30,0)+IFERROR($F$31*$O$31,0)+IFERROR($F$32*$O$32,0)+IFERROR($F$33*$O$33,0)+IFERROR($F$34*$O$34,0)+IFERROR($F$35*$O$35,0)+IFERROR($F$36*$O$36,0)+IFERROR($F$37*$O$37,0)+IFERROR($F$38*$O$38,0)+IFERROR($F$39*$O$39,0)+IFERROR($F$40*$O$40,0)+IFERROR(VLOOKUP(E46,Tables!O33:P43,2,FALSE),0)</f>
        <v>0</v>
      </c>
      <c r="Q52" s="36">
        <f>ROUNDUP(P52/3,0)</f>
        <v>0</v>
      </c>
      <c r="R52" s="96">
        <f>ROUNDUP(P52/2,0)</f>
        <v>0</v>
      </c>
      <c r="S52" s="42"/>
      <c r="T52" s="119"/>
      <c r="U52" s="85"/>
    </row>
    <row r="53" spans="2:21" ht="18">
      <c r="B53" s="85"/>
      <c r="C53" s="41"/>
      <c r="D53" s="186"/>
      <c r="E53" s="187"/>
      <c r="F53" s="187"/>
      <c r="G53" s="187"/>
      <c r="H53" s="188"/>
      <c r="I53" s="33"/>
      <c r="J53" s="101" t="s">
        <v>67</v>
      </c>
      <c r="K53" s="158">
        <f>IFERROR($E$6*$S$6,0)+IFERROR($E$7*$S$7,0)+IFERROR($E$8*$S$8,0)+IFERROR($E$9*$S$9,0)+IFERROR($E$10*$S$10,0)+IFERROR($E$11*$S$11,0)+IFERROR($E$12*$S$12,0)+IFERROR($E$13*$S$13,0)+IFERROR($E$14*$S$14,0)+IFERROR($E$15*$S$15,0)+IFERROR($E$16*$S$16,0)+IFERROR($E$17*$S$17,0)+IFERROR($E$18*$S$18,0)+IFERROR($E$19*$S$19,0)+IFERROR($E$20*$S$20,0)+IFERROR($E$21*$S$21,0)+IFERROR($E$22*$S$22,0)+IFERROR($E$23*$S$23,0)+IFERROR($E$24*$S$24,0)+IFERROR($E$25*$S$25,0)+IFERROR($E$26*$S$26,0)+IFERROR($E$27*$S$27,0)+IFERROR($E$28*$S$28,0)+IFERROR($E$29*$S$29,0)+IFERROR($E$30*$S$30,0)+IFERROR($E$31*$S$31,0)+IFERROR($E$32*$S$32,0)+IFERROR($E$33*$S$33,0)+IFERROR($E$34*$S$34,0)+IFERROR($E$35*$S$35,0)+IFERROR($E$36*$S$36,0)+IFERROR($E$37*$S$37,0)+IFERROR($E$38*$S$38,0)+IFERROR($E$39*$S$39,0)+IFERROR($E$40*$S$40,0) +IFERROR(VLOOKUP(E45,Tables!L33:M43,2,FALSE),0)+IFERROR(VLOOKUP(G45,Tables!R33:S37,2,FALSE),0)</f>
        <v>114</v>
      </c>
      <c r="L53" s="159"/>
      <c r="M53" s="160"/>
      <c r="N53" s="33"/>
      <c r="O53" s="101" t="s">
        <v>67</v>
      </c>
      <c r="P53" s="158">
        <f>IFERROR($F$6*$S$6,0)+IFERROR($F$7*$S$7,0)+IFERROR($F$8*$S$8,0)+IFERROR($F$9*$S$9,0)+IFERROR($F$10*$S$10,0)+IFERROR($F$11*$S$11,0)+IFERROR($F$12*$S$12,0)+IFERROR($F$13*$S$13,0)+IFERROR($F$14*$S$14,0)+IFERROR($F$15*$S$15,0)+IFERROR($F$16*$S$16,0)+IFERROR($F$17*$S$17,0)+IFERROR($F$18*$S$18,0)+IFERROR($F$19*$S$19,0)+IFERROR($F$20*$S$20,0)+IFERROR($F$21*$S$21,0)+IFERROR($F$22*$S$22,0)+IFERROR($F$23*$S$23,0)+IFERROR($F$24*$S$24,0)+IFERROR($F$25*$S$25,0)+IFERROR($F$26*$S$26,0)+IFERROR($F$27*$S$27,0)+IFERROR($F$28*$S$28,0)+IFERROR($F$29*$S$29,0)+IFERROR($F$30*$S$30,0)+IFERROR($F$31*$S$31,0)+IFERROR($F$32*$S$32,0)+IFERROR($F$33*$S$33,0)+IFERROR($F$34*$S$34,0)+IFERROR($F$35*$S$35,0)+IFERROR($F$36*$S$36,0)+IFERROR($F$37*$S$37,0)+IFERROR($F$38*$S$38,0)+IFERROR($F$39*$S$39,0)+IFERROR($F$40*$S$40,0) +IFERROR(VLOOKUP(E46,Tables!L33:M43,2,FALSE),0)+IFERROR(VLOOKUP(G46,Tables!R33:S37,2,FALSE),0)</f>
        <v>0</v>
      </c>
      <c r="Q53" s="159"/>
      <c r="R53" s="160"/>
      <c r="S53" s="42"/>
      <c r="T53" s="119"/>
      <c r="U53" s="85"/>
    </row>
    <row r="54" spans="2:21" ht="13.8">
      <c r="B54" s="85"/>
      <c r="C54" s="41"/>
      <c r="D54" s="186"/>
      <c r="E54" s="187"/>
      <c r="F54" s="187"/>
      <c r="G54" s="187"/>
      <c r="H54" s="188"/>
      <c r="N54" s="33"/>
      <c r="S54" s="42"/>
      <c r="T54" s="119"/>
      <c r="U54" s="85"/>
    </row>
    <row r="55" spans="2:21" ht="18">
      <c r="B55" s="85"/>
      <c r="C55" s="41"/>
      <c r="D55" s="186"/>
      <c r="E55" s="187"/>
      <c r="F55" s="187"/>
      <c r="G55" s="187"/>
      <c r="H55" s="188"/>
      <c r="N55" s="33"/>
      <c r="O55" s="164" t="s">
        <v>70</v>
      </c>
      <c r="P55" s="165"/>
      <c r="Q55" s="165"/>
      <c r="R55" s="165"/>
      <c r="S55" s="42"/>
      <c r="T55" s="119"/>
      <c r="U55" s="85"/>
    </row>
    <row r="56" spans="2:21" ht="13.8">
      <c r="B56" s="85"/>
      <c r="C56" s="41"/>
      <c r="D56" s="186"/>
      <c r="E56" s="187"/>
      <c r="F56" s="187"/>
      <c r="G56" s="187"/>
      <c r="H56" s="188"/>
      <c r="O56" s="97"/>
      <c r="P56" s="99" t="s">
        <v>72</v>
      </c>
      <c r="Q56" s="166" t="s">
        <v>145</v>
      </c>
      <c r="R56" s="167"/>
      <c r="S56" s="42"/>
      <c r="T56" s="119"/>
      <c r="U56" s="85"/>
    </row>
    <row r="57" spans="2:21" ht="15.6">
      <c r="B57" s="85"/>
      <c r="C57" s="41"/>
      <c r="D57" s="210" t="s">
        <v>165</v>
      </c>
      <c r="E57" s="211"/>
      <c r="F57" s="207">
        <f>IFERROR(VLOOKUP(D49,Tables!M48:N65,2,FALSE),0)+IFERROR(VLOOKUP(D50,Tables!M48:N65,2,FALSE),0)+IFERROR(VLOOKUP(D51,Tables!M48:N65,2,FALSE),0)+IFERROR(VLOOKUP(D52,Tables!M48:N65,2,FALSE),0)+IFERROR(VLOOKUP(D53,Tables!M48:N65,2,FALSE),0)+IFERROR(VLOOKUP(D54,Tables!M48:N65,2,FALSE),0)+IFERROR(VLOOKUP(D55,Tables!M48:N65,2,FALSE),0)+IFERROR(VLOOKUP(D56,Tables!M48:N65,2,FALSE),0)</f>
        <v>3</v>
      </c>
      <c r="G57" s="208"/>
      <c r="H57" s="209"/>
      <c r="J57" s="170" t="s">
        <v>190</v>
      </c>
      <c r="K57" s="171"/>
      <c r="L57" s="168">
        <v>2</v>
      </c>
      <c r="M57" s="169"/>
      <c r="O57" s="97"/>
      <c r="P57" s="98">
        <f>IFERROR(SUM(K47,P47,K52,P52)+VLOOKUP(Q43,Tables!$O$16:$P$17,2,FALSE),0)</f>
        <v>38</v>
      </c>
      <c r="Q57" s="172">
        <f>ROUNDUP(P57/2,0)</f>
        <v>19</v>
      </c>
      <c r="R57" s="173"/>
      <c r="S57" s="42"/>
      <c r="T57" s="119"/>
      <c r="U57" s="85"/>
    </row>
    <row r="58" spans="2:21" ht="18">
      <c r="B58" s="85"/>
      <c r="C58" s="41"/>
      <c r="O58" s="100" t="s">
        <v>67</v>
      </c>
      <c r="P58" s="155">
        <f>IFERROR(SUM(K48,P48,K53,P53)+IFERROR(VLOOKUP(M43,Tables!$E$33:$F$36,2,FALSE),0)+L57+F57+IF(Q43="Fortified",5,0),0)</f>
        <v>400</v>
      </c>
      <c r="Q58" s="156"/>
      <c r="R58" s="157"/>
      <c r="S58" s="42"/>
      <c r="T58" s="119"/>
      <c r="U58" s="85"/>
    </row>
    <row r="59" spans="2:21" ht="14.4" thickBot="1">
      <c r="B59" s="85"/>
      <c r="C59" s="41"/>
      <c r="N59" s="33"/>
      <c r="S59" s="42"/>
      <c r="T59" s="119"/>
      <c r="U59" s="85"/>
    </row>
    <row r="60" spans="2:21" ht="21" customHeight="1" thickBot="1">
      <c r="B60" s="85"/>
      <c r="C60" s="215" t="s">
        <v>258</v>
      </c>
      <c r="D60" s="215"/>
      <c r="E60" s="215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5" t="s">
        <v>256</v>
      </c>
      <c r="S60" s="196"/>
      <c r="T60" s="119"/>
      <c r="U60" s="85"/>
    </row>
    <row r="61" spans="2:21" ht="11.25" customHeight="1">
      <c r="B61" s="85"/>
      <c r="C61" s="88"/>
      <c r="D61" s="85"/>
      <c r="E61" s="85"/>
      <c r="F61" s="85"/>
      <c r="G61" s="86"/>
      <c r="H61" s="86"/>
      <c r="I61" s="86"/>
      <c r="J61" s="86"/>
      <c r="K61" s="86"/>
      <c r="L61" s="86"/>
      <c r="M61" s="87"/>
      <c r="N61" s="85"/>
      <c r="O61" s="85"/>
      <c r="P61" s="85"/>
      <c r="Q61" s="85"/>
      <c r="R61" s="85"/>
      <c r="S61" s="85"/>
      <c r="T61" s="85"/>
      <c r="U61" s="85"/>
    </row>
    <row r="62" spans="2:21" ht="15.6" hidden="1">
      <c r="C62" s="47"/>
      <c r="D62" s="47"/>
      <c r="E62" s="47"/>
      <c r="F62" s="47"/>
      <c r="G62" s="48"/>
      <c r="I62" s="46"/>
      <c r="J62" s="46"/>
      <c r="K62" s="46"/>
      <c r="L62" s="46"/>
      <c r="M62" s="46"/>
      <c r="N62" s="49"/>
    </row>
    <row r="63" spans="2:21" ht="13.8" hidden="1"/>
    <row r="64" spans="2:21" ht="13.8" hidden="1"/>
    <row r="65" ht="13.8" hidden="1"/>
    <row r="66" ht="13.8" hidden="1"/>
    <row r="67" ht="13.8" hidden="1"/>
    <row r="68" ht="13.8" hidden="1"/>
    <row r="69" ht="13.8" hidden="1"/>
    <row r="70" ht="13.8" hidden="1"/>
    <row r="71" ht="13.8" hidden="1"/>
    <row r="72" ht="13.8" hidden="1"/>
    <row r="73" ht="13.8" hidden="1"/>
    <row r="74" ht="13.8" hidden="1"/>
    <row r="75" ht="13.8" hidden="1"/>
    <row r="76" ht="13.8" hidden="1"/>
    <row r="77" ht="13.8" hidden="1"/>
    <row r="78" ht="13.8" hidden="1"/>
    <row r="79" ht="13.8" hidden="1"/>
    <row r="80" ht="13.8" hidden="1"/>
    <row r="81" ht="13.8" hidden="1"/>
    <row r="82" ht="13.8" hidden="1"/>
    <row r="83" ht="13.8" hidden="1"/>
    <row r="84" ht="13.8" hidden="1"/>
    <row r="85" ht="13.8" hidden="1"/>
    <row r="86" ht="13.8" hidden="1"/>
    <row r="87" ht="13.8" hidden="1"/>
    <row r="88" ht="17.100000000000001" hidden="1" customHeight="1"/>
    <row r="89" ht="17.100000000000001" hidden="1" customHeight="1"/>
    <row r="90" ht="17.100000000000001" hidden="1" customHeight="1"/>
  </sheetData>
  <sheetProtection sheet="1" selectLockedCells="1" autoFilter="0"/>
  <autoFilter ref="T5:T40" xr:uid="{00000000-0009-0000-0000-000001000000}"/>
  <mergeCells count="85">
    <mergeCell ref="P58:R58"/>
    <mergeCell ref="C60:E60"/>
    <mergeCell ref="F60:Q60"/>
    <mergeCell ref="R60:S60"/>
    <mergeCell ref="D54:H54"/>
    <mergeCell ref="D55:H55"/>
    <mergeCell ref="O55:R55"/>
    <mergeCell ref="D56:H56"/>
    <mergeCell ref="Q56:R56"/>
    <mergeCell ref="D57:E57"/>
    <mergeCell ref="F57:H57"/>
    <mergeCell ref="J57:K57"/>
    <mergeCell ref="L57:M57"/>
    <mergeCell ref="Q57:R57"/>
    <mergeCell ref="D53:H53"/>
    <mergeCell ref="K53:M53"/>
    <mergeCell ref="P53:R53"/>
    <mergeCell ref="E46:F46"/>
    <mergeCell ref="G46:H46"/>
    <mergeCell ref="D48:H48"/>
    <mergeCell ref="K48:M48"/>
    <mergeCell ref="P48:R48"/>
    <mergeCell ref="D49:H49"/>
    <mergeCell ref="D50:H50"/>
    <mergeCell ref="J50:M50"/>
    <mergeCell ref="O50:R50"/>
    <mergeCell ref="D51:H51"/>
    <mergeCell ref="D52:H52"/>
    <mergeCell ref="O45:R45"/>
    <mergeCell ref="E42:F42"/>
    <mergeCell ref="G42:H42"/>
    <mergeCell ref="M42:O42"/>
    <mergeCell ref="Q42:R42"/>
    <mergeCell ref="E43:F43"/>
    <mergeCell ref="G43:H43"/>
    <mergeCell ref="M43:O43"/>
    <mergeCell ref="Q43:R43"/>
    <mergeCell ref="E44:F44"/>
    <mergeCell ref="G44:H44"/>
    <mergeCell ref="E45:F45"/>
    <mergeCell ref="G45:H45"/>
    <mergeCell ref="J45:M45"/>
    <mergeCell ref="I40:J40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28:J28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16:J16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C2:S2"/>
    <mergeCell ref="C3:D3"/>
    <mergeCell ref="E3:M3"/>
    <mergeCell ref="O3:S3"/>
    <mergeCell ref="C4:F4"/>
    <mergeCell ref="G4:H4"/>
    <mergeCell ref="I4:J4"/>
  </mergeCells>
  <conditionalFormatting sqref="F57">
    <cfRule type="cellIs" dxfId="5" priority="3" operator="greaterThan">
      <formula>0.06*$P$58</formula>
    </cfRule>
  </conditionalFormatting>
  <conditionalFormatting sqref="J47 O47 J52 O52">
    <cfRule type="cellIs" dxfId="4" priority="2" operator="greaterThan">
      <formula>0.7</formula>
    </cfRule>
  </conditionalFormatting>
  <conditionalFormatting sqref="L6:L40">
    <cfRule type="expression" dxfId="3" priority="1">
      <formula>AND(L6&gt;4,OR(R6=2,R6="2-"))</formula>
    </cfRule>
  </conditionalFormatting>
  <dataValidations count="14">
    <dataValidation type="list" allowBlank="1" showInputMessage="1" showErrorMessage="1" sqref="D49:D56" xr:uid="{00000000-0002-0000-0100-000000000000}">
      <formula1>Card</formula1>
    </dataValidation>
    <dataValidation type="list" allowBlank="1" showInputMessage="1" showErrorMessage="1" sqref="G43:G46" xr:uid="{00000000-0002-0000-0100-000001000000}">
      <formula1>General_Ability</formula1>
    </dataValidation>
    <dataValidation type="list" allowBlank="1" showErrorMessage="1" sqref="Q43:R43" xr:uid="{00000000-0002-0000-0100-000002000000}">
      <formula1>Baggage</formula1>
    </dataValidation>
    <dataValidation type="list" allowBlank="1" showInputMessage="1" showErrorMessage="1" sqref="L57:M57" xr:uid="{00000000-0002-0000-0100-000003000000}">
      <formula1>Explore</formula1>
    </dataValidation>
    <dataValidation type="list" allowBlank="1" showErrorMessage="1" sqref="M43" xr:uid="{00000000-0002-0000-0100-000004000000}">
      <formula1>CS_Name</formula1>
    </dataValidation>
    <dataValidation type="list" allowBlank="1" showInputMessage="1" showErrorMessage="1" sqref="E43:E46" xr:uid="{00000000-0002-0000-0100-000005000000}">
      <formula1>General_Name</formula1>
    </dataValidation>
    <dataValidation type="list" showInputMessage="1" showErrorMessage="1" sqref="K6:K40" xr:uid="{00000000-0002-0000-0100-000006000000}">
      <formula1>Type</formula1>
    </dataValidation>
    <dataValidation type="list" showInputMessage="1" showErrorMessage="1" sqref="L6:L40" xr:uid="{00000000-0002-0000-0100-000007000000}">
      <formula1>VBU</formula1>
    </dataValidation>
    <dataValidation type="list" showInputMessage="1" showErrorMessage="1" sqref="M6:M40" xr:uid="{00000000-0002-0000-0100-000008000000}">
      <formula1>IMPETUS</formula1>
    </dataValidation>
    <dataValidation type="list" showInputMessage="1" showErrorMessage="1" sqref="N6:N40" xr:uid="{00000000-0002-0000-0100-000009000000}">
      <formula1>Discipline</formula1>
    </dataValidation>
    <dataValidation type="list" showInputMessage="1" showErrorMessage="1" sqref="Q6:Q40" xr:uid="{00000000-0002-0000-0100-00000A000000}">
      <formula1>Special</formula1>
    </dataValidation>
    <dataValidation type="list" showInputMessage="1" showErrorMessage="1" sqref="R6:R40" xr:uid="{00000000-0002-0000-0100-00000B000000}">
      <formula1>LargeUnit</formula1>
    </dataValidation>
    <dataValidation type="list" showInputMessage="1" showErrorMessage="1" sqref="P6:P40" xr:uid="{00000000-0002-0000-0100-00000C000000}">
      <formula1>Weapon</formula1>
    </dataValidation>
    <dataValidation type="list" allowBlank="1" showInputMessage="1" showErrorMessage="1" sqref="O3" xr:uid="{00000000-0002-0000-0100-00000D000000}">
      <formula1>VOLUME</formula1>
    </dataValidation>
  </dataValidations>
  <printOptions horizontalCentered="1" verticalCentered="1"/>
  <pageMargins left="0" right="0" top="0" bottom="0" header="0" footer="0"/>
  <pageSetup paperSize="9" scale="58" firstPageNumber="0" orientation="landscape" horizontalDpi="4294967294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Check Box 1">
              <controlPr defaultSize="0" autoFill="0" autoLine="0" autoPict="0">
                <anchor moveWithCells="1">
                  <from>
                    <xdr:col>10</xdr:col>
                    <xdr:colOff>541020</xdr:colOff>
                    <xdr:row>40</xdr:row>
                    <xdr:rowOff>7620</xdr:rowOff>
                  </from>
                  <to>
                    <xdr:col>11</xdr:col>
                    <xdr:colOff>30480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Check Box 2">
              <controlPr defaultSize="0" autoFill="0" autoLine="0" autoPict="0">
                <anchor moveWithCells="1">
                  <from>
                    <xdr:col>10</xdr:col>
                    <xdr:colOff>541020</xdr:colOff>
                    <xdr:row>41</xdr:row>
                    <xdr:rowOff>38100</xdr:rowOff>
                  </from>
                  <to>
                    <xdr:col>11</xdr:col>
                    <xdr:colOff>45720</xdr:colOff>
                    <xdr:row>42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Check Box 3">
              <controlPr defaultSize="0" autoFill="0" autoLine="0" autoPict="0">
                <anchor moveWithCells="1">
                  <from>
                    <xdr:col>10</xdr:col>
                    <xdr:colOff>541020</xdr:colOff>
                    <xdr:row>42</xdr:row>
                    <xdr:rowOff>22860</xdr:rowOff>
                  </from>
                  <to>
                    <xdr:col>11</xdr:col>
                    <xdr:colOff>45720</xdr:colOff>
                    <xdr:row>43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autoPageBreaks="0" fitToPage="1"/>
  </sheetPr>
  <dimension ref="A1:AM90"/>
  <sheetViews>
    <sheetView zoomScale="80" zoomScaleNormal="80" workbookViewId="0">
      <selection activeCell="I30" sqref="I30:J30"/>
    </sheetView>
  </sheetViews>
  <sheetFormatPr defaultColWidth="0" defaultRowHeight="0" customHeight="1" zeroHeight="1"/>
  <cols>
    <col min="1" max="1" width="4.44140625" style="46" customWidth="1"/>
    <col min="2" max="2" width="2.109375" style="46" customWidth="1"/>
    <col min="3" max="3" width="7" style="46" customWidth="1"/>
    <col min="4" max="5" width="7.33203125" style="46" customWidth="1"/>
    <col min="6" max="6" width="6.88671875" style="46" customWidth="1"/>
    <col min="7" max="7" width="7.33203125" style="47" customWidth="1"/>
    <col min="8" max="8" width="7.109375" style="47" customWidth="1"/>
    <col min="9" max="9" width="38.44140625" style="47" customWidth="1"/>
    <col min="10" max="10" width="10.33203125" style="47" customWidth="1"/>
    <col min="11" max="11" width="15.5546875" style="47" customWidth="1"/>
    <col min="12" max="12" width="7.33203125" style="47" bestFit="1" customWidth="1"/>
    <col min="13" max="13" width="6.33203125" style="50" customWidth="1"/>
    <col min="14" max="14" width="6.33203125" style="46" bestFit="1" customWidth="1"/>
    <col min="15" max="15" width="10.33203125" style="46" customWidth="1"/>
    <col min="16" max="16" width="15.5546875" style="46" customWidth="1"/>
    <col min="17" max="17" width="12.109375" style="46" customWidth="1"/>
    <col min="18" max="18" width="7.88671875" style="46" customWidth="1"/>
    <col min="19" max="19" width="10.88671875" style="46" customWidth="1"/>
    <col min="20" max="20" width="2" style="46" customWidth="1"/>
    <col min="21" max="21" width="2.109375" style="46" customWidth="1"/>
    <col min="22" max="39" width="0" style="46" hidden="1" customWidth="1"/>
    <col min="40" max="16384" width="9.109375" style="46" hidden="1"/>
  </cols>
  <sheetData>
    <row r="1" spans="2:21" ht="10.5" customHeight="1" thickBot="1">
      <c r="B1" s="85"/>
      <c r="C1" s="85"/>
      <c r="D1" s="85"/>
      <c r="E1" s="85"/>
      <c r="F1" s="85"/>
      <c r="G1" s="86"/>
      <c r="H1" s="86"/>
      <c r="I1" s="86"/>
      <c r="J1" s="86"/>
      <c r="K1" s="86"/>
      <c r="L1" s="86"/>
      <c r="M1" s="87"/>
      <c r="N1" s="85"/>
      <c r="O1" s="85"/>
      <c r="P1" s="85"/>
      <c r="Q1" s="85"/>
      <c r="R1" s="85"/>
      <c r="S1" s="85"/>
      <c r="T1" s="85"/>
      <c r="U1" s="85"/>
    </row>
    <row r="2" spans="2:21" ht="45.6" thickBot="1">
      <c r="B2" s="85"/>
      <c r="C2" s="193" t="s">
        <v>257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4"/>
      <c r="T2" s="119"/>
      <c r="U2" s="85"/>
    </row>
    <row r="3" spans="2:21" ht="25.8" thickBot="1">
      <c r="B3" s="85"/>
      <c r="C3" s="205" t="s">
        <v>71</v>
      </c>
      <c r="D3" s="206"/>
      <c r="E3" s="202" t="s">
        <v>259</v>
      </c>
      <c r="F3" s="203"/>
      <c r="G3" s="203"/>
      <c r="H3" s="203"/>
      <c r="I3" s="203"/>
      <c r="J3" s="203"/>
      <c r="K3" s="203"/>
      <c r="L3" s="203"/>
      <c r="M3" s="204"/>
      <c r="N3" s="116" t="s">
        <v>178</v>
      </c>
      <c r="O3" s="199" t="s">
        <v>247</v>
      </c>
      <c r="P3" s="200"/>
      <c r="Q3" s="200"/>
      <c r="R3" s="200"/>
      <c r="S3" s="201"/>
      <c r="T3" s="119"/>
      <c r="U3" s="85"/>
    </row>
    <row r="4" spans="2:21" ht="15.6">
      <c r="B4" s="85"/>
      <c r="C4" s="146" t="s">
        <v>0</v>
      </c>
      <c r="D4" s="147"/>
      <c r="E4" s="147"/>
      <c r="F4" s="148"/>
      <c r="G4" s="149"/>
      <c r="H4" s="150"/>
      <c r="I4" s="151"/>
      <c r="J4" s="152"/>
      <c r="K4" s="102"/>
      <c r="L4" s="102"/>
      <c r="M4" s="103"/>
      <c r="N4" s="102"/>
      <c r="O4" s="102"/>
      <c r="P4" s="102"/>
      <c r="Q4" s="102"/>
      <c r="R4" s="102"/>
      <c r="S4" s="104" t="s">
        <v>11</v>
      </c>
      <c r="T4" s="105"/>
      <c r="U4" s="85"/>
    </row>
    <row r="5" spans="2:21" ht="13.8">
      <c r="B5" s="85"/>
      <c r="C5" s="106" t="s">
        <v>1</v>
      </c>
      <c r="D5" s="107" t="s">
        <v>2</v>
      </c>
      <c r="E5" s="107" t="s">
        <v>3</v>
      </c>
      <c r="F5" s="108" t="s">
        <v>4</v>
      </c>
      <c r="G5" s="110" t="s">
        <v>61</v>
      </c>
      <c r="H5" s="109" t="s">
        <v>62</v>
      </c>
      <c r="I5" s="153" t="s">
        <v>24</v>
      </c>
      <c r="J5" s="154"/>
      <c r="K5" s="111" t="s">
        <v>5</v>
      </c>
      <c r="L5" s="111" t="s">
        <v>7</v>
      </c>
      <c r="M5" s="112" t="s">
        <v>8</v>
      </c>
      <c r="N5" s="111" t="s">
        <v>9</v>
      </c>
      <c r="O5" s="111" t="s">
        <v>10</v>
      </c>
      <c r="P5" s="111" t="s">
        <v>25</v>
      </c>
      <c r="Q5" s="113" t="s">
        <v>64</v>
      </c>
      <c r="R5" s="113" t="s">
        <v>140</v>
      </c>
      <c r="S5" s="114"/>
      <c r="T5" s="115"/>
      <c r="U5" s="85"/>
    </row>
    <row r="6" spans="2:21" ht="15.6" hidden="1">
      <c r="B6" s="85"/>
      <c r="C6" s="61"/>
      <c r="D6" s="62"/>
      <c r="E6" s="63"/>
      <c r="F6" s="64"/>
      <c r="G6" s="51">
        <v>0</v>
      </c>
      <c r="H6" s="52">
        <v>2</v>
      </c>
      <c r="I6" s="144" t="s">
        <v>260</v>
      </c>
      <c r="J6" s="145" t="s">
        <v>260</v>
      </c>
      <c r="K6" s="27" t="s">
        <v>43</v>
      </c>
      <c r="L6" s="71">
        <v>5</v>
      </c>
      <c r="M6" s="71">
        <v>2</v>
      </c>
      <c r="N6" s="27" t="s">
        <v>12</v>
      </c>
      <c r="O6" s="27">
        <v>2</v>
      </c>
      <c r="P6" s="28"/>
      <c r="Q6" s="29"/>
      <c r="R6" s="29"/>
      <c r="S6" s="117">
        <f>IFERROR(IF(K6="FOR",5,IF(K6="ART",VLOOKUP(P6,Tables!$L$3:$M$29,2,FALSE)+IF(Q6="",0,VLOOKUP(Q6,Tables!$B$33:$C$40,2,FALSE)),IF(R6="2-",ROUNDUP(0.75*(VLOOKUP(K6,Tables!$E$3:$F$18,2,FALSE)+VLOOKUP(L6,Tables!$O$3:$P$10,2,FALSE)+VLOOKUP(M6,Tables!$R$3:$S$9,2,FALSE)+IF(N6="",0,VLOOKUP(N6,Tables!$B$3:$C$5,2,FALSE))+IF(P6="",0,VLOOKUP(P6,Tables!$L$3:$M$29,2,FALSE))+IF(Q6="",0,VLOOKUP(Q6,Tables!$B$33:$C$40,2,FALSE))),0),VLOOKUP(K6,Tables!$E$3:$F$18,2,FALSE)+VLOOKUP(L6,Tables!$O$3:$P$10,2,FALSE)+VLOOKUP(M6,Tables!$R$3:$S$9,2,FALSE)+IF(N6="",0,VLOOKUP(N6,Tables!$B$3:$C$5,2,FALSE))+IF(P6="",0,VLOOKUP(P6,Tables!$L$3:$M$29,2,FALSE))+IF(Q6="",0,VLOOKUP(Q6,Tables!$B$33:$C$40,2,FALSE))))),"")</f>
        <v>23</v>
      </c>
      <c r="T6" s="118" t="str">
        <f>IF(AND(C6="",D6="",E6="",F6=""),"","Y")</f>
        <v/>
      </c>
      <c r="U6" s="85"/>
    </row>
    <row r="7" spans="2:21" ht="15.6">
      <c r="B7" s="85"/>
      <c r="C7" s="65">
        <v>1</v>
      </c>
      <c r="D7" s="59"/>
      <c r="E7" s="60"/>
      <c r="F7" s="66"/>
      <c r="G7" s="51" t="s">
        <v>284</v>
      </c>
      <c r="H7" s="52" t="s">
        <v>285</v>
      </c>
      <c r="I7" s="144" t="s">
        <v>260</v>
      </c>
      <c r="J7" s="145" t="s">
        <v>260</v>
      </c>
      <c r="K7" s="27" t="s">
        <v>43</v>
      </c>
      <c r="L7" s="71">
        <v>6</v>
      </c>
      <c r="M7" s="71">
        <v>2</v>
      </c>
      <c r="N7" s="27" t="s">
        <v>12</v>
      </c>
      <c r="O7" s="27">
        <v>3</v>
      </c>
      <c r="P7" s="28"/>
      <c r="Q7" s="29"/>
      <c r="R7" s="29"/>
      <c r="S7" s="117">
        <f>IFERROR(IF(K7="FOR",5,IF(K7="ART",VLOOKUP(P7,Tables!$L$3:$M$29,2,FALSE)+IF(Q7="",0,VLOOKUP(Q7,Tables!$B$33:$C$40,2,FALSE)),IF(R7="2-",ROUNDUP(0.75*(VLOOKUP(K7,Tables!$E$3:$F$18,2,FALSE)+VLOOKUP(L7,Tables!$O$3:$P$10,2,FALSE)+VLOOKUP(M7,Tables!$R$3:$S$9,2,FALSE)+IF(N7="",0,VLOOKUP(N7,Tables!$B$3:$C$5,2,FALSE))+IF(P7="",0,VLOOKUP(P7,Tables!$L$3:$M$29,2,FALSE))+IF(Q7="",0,VLOOKUP(Q7,Tables!$B$33:$C$40,2,FALSE))),0),VLOOKUP(K7,Tables!$E$3:$F$18,2,FALSE)+VLOOKUP(L7,Tables!$O$3:$P$10,2,FALSE)+VLOOKUP(M7,Tables!$R$3:$S$9,2,FALSE)+IF(N7="",0,VLOOKUP(N7,Tables!$B$3:$C$5,2,FALSE))+IF(P7="",0,VLOOKUP(P7,Tables!$L$3:$M$29,2,FALSE))+IF(Q7="",0,VLOOKUP(Q7,Tables!$B$33:$C$40,2,FALSE))))),"")</f>
        <v>29</v>
      </c>
      <c r="T7" s="118" t="str">
        <f t="shared" ref="T7:T40" si="0">IF(AND(C7="",D7="",E7="",F7=""),"","Y")</f>
        <v>Y</v>
      </c>
      <c r="U7" s="85"/>
    </row>
    <row r="8" spans="2:21" ht="15.6">
      <c r="B8" s="85"/>
      <c r="C8" s="65">
        <v>2</v>
      </c>
      <c r="D8" s="59"/>
      <c r="E8" s="60"/>
      <c r="F8" s="66"/>
      <c r="G8" s="51">
        <v>2</v>
      </c>
      <c r="H8" s="52">
        <v>6</v>
      </c>
      <c r="I8" s="144" t="s">
        <v>261</v>
      </c>
      <c r="J8" s="145" t="s">
        <v>261</v>
      </c>
      <c r="K8" s="27" t="s">
        <v>43</v>
      </c>
      <c r="L8" s="71">
        <v>5</v>
      </c>
      <c r="M8" s="71">
        <v>2</v>
      </c>
      <c r="N8" s="27" t="s">
        <v>12</v>
      </c>
      <c r="O8" s="27">
        <v>2</v>
      </c>
      <c r="P8" s="28"/>
      <c r="Q8" s="29"/>
      <c r="R8" s="29"/>
      <c r="S8" s="117">
        <f>IFERROR(IF(K8="FOR",5,IF(K8="ART",VLOOKUP(P8,Tables!$L$3:$M$29,2,FALSE)+IF(Q8="",0,VLOOKUP(Q8,Tables!$B$33:$C$40,2,FALSE)),IF(R8="2-",ROUNDUP(0.75*(VLOOKUP(K8,Tables!$E$3:$F$18,2,FALSE)+VLOOKUP(L8,Tables!$O$3:$P$10,2,FALSE)+VLOOKUP(M8,Tables!$R$3:$S$9,2,FALSE)+IF(N8="",0,VLOOKUP(N8,Tables!$B$3:$C$5,2,FALSE))+IF(P8="",0,VLOOKUP(P8,Tables!$L$3:$M$29,2,FALSE))+IF(Q8="",0,VLOOKUP(Q8,Tables!$B$33:$C$40,2,FALSE))),0),VLOOKUP(K8,Tables!$E$3:$F$18,2,FALSE)+VLOOKUP(L8,Tables!$O$3:$P$10,2,FALSE)+VLOOKUP(M8,Tables!$R$3:$S$9,2,FALSE)+IF(N8="",0,VLOOKUP(N8,Tables!$B$3:$C$5,2,FALSE))+IF(P8="",0,VLOOKUP(P8,Tables!$L$3:$M$29,2,FALSE))+IF(Q8="",0,VLOOKUP(Q8,Tables!$B$33:$C$40,2,FALSE))))),"")</f>
        <v>23</v>
      </c>
      <c r="T8" s="118" t="str">
        <f t="shared" si="0"/>
        <v>Y</v>
      </c>
      <c r="U8" s="85"/>
    </row>
    <row r="9" spans="2:21" ht="15.6" hidden="1">
      <c r="B9" s="85"/>
      <c r="C9" s="65"/>
      <c r="D9" s="59"/>
      <c r="E9" s="60"/>
      <c r="F9" s="66"/>
      <c r="G9" s="51" t="s">
        <v>95</v>
      </c>
      <c r="H9" s="52"/>
      <c r="I9" s="144" t="s">
        <v>262</v>
      </c>
      <c r="J9" s="145" t="s">
        <v>262</v>
      </c>
      <c r="K9" s="27" t="s">
        <v>43</v>
      </c>
      <c r="L9" s="71">
        <v>4</v>
      </c>
      <c r="M9" s="71">
        <v>2</v>
      </c>
      <c r="N9" s="27" t="s">
        <v>12</v>
      </c>
      <c r="O9" s="27">
        <v>1</v>
      </c>
      <c r="P9" s="28"/>
      <c r="Q9" s="29"/>
      <c r="R9" s="29"/>
      <c r="S9" s="117">
        <f>IFERROR(IF(K9="FOR",5,IF(K9="ART",VLOOKUP(P9,Tables!$L$3:$M$29,2,FALSE)+IF(Q9="",0,VLOOKUP(Q9,Tables!$B$33:$C$40,2,FALSE)),IF(R9="2-",ROUNDUP(0.75*(VLOOKUP(K9,Tables!$E$3:$F$18,2,FALSE)+VLOOKUP(L9,Tables!$O$3:$P$10,2,FALSE)+VLOOKUP(M9,Tables!$R$3:$S$9,2,FALSE)+IF(N9="",0,VLOOKUP(N9,Tables!$B$3:$C$5,2,FALSE))+IF(P9="",0,VLOOKUP(P9,Tables!$L$3:$M$29,2,FALSE))+IF(Q9="",0,VLOOKUP(Q9,Tables!$B$33:$C$40,2,FALSE))),0),VLOOKUP(K9,Tables!$E$3:$F$18,2,FALSE)+VLOOKUP(L9,Tables!$O$3:$P$10,2,FALSE)+VLOOKUP(M9,Tables!$R$3:$S$9,2,FALSE)+IF(N9="",0,VLOOKUP(N9,Tables!$B$3:$C$5,2,FALSE))+IF(P9="",0,VLOOKUP(P9,Tables!$L$3:$M$29,2,FALSE))+IF(Q9="",0,VLOOKUP(Q9,Tables!$B$33:$C$40,2,FALSE))))),"")</f>
        <v>18</v>
      </c>
      <c r="T9" s="118" t="str">
        <f t="shared" si="0"/>
        <v/>
      </c>
      <c r="U9" s="85"/>
    </row>
    <row r="10" spans="2:21" ht="15.6">
      <c r="B10" s="85"/>
      <c r="C10" s="65">
        <v>1</v>
      </c>
      <c r="D10" s="59"/>
      <c r="E10" s="60"/>
      <c r="F10" s="66"/>
      <c r="G10" s="51">
        <v>1</v>
      </c>
      <c r="H10" s="52">
        <v>4</v>
      </c>
      <c r="I10" s="144" t="s">
        <v>263</v>
      </c>
      <c r="J10" s="145" t="s">
        <v>263</v>
      </c>
      <c r="K10" s="27" t="s">
        <v>45</v>
      </c>
      <c r="L10" s="71">
        <v>4</v>
      </c>
      <c r="M10" s="71">
        <v>1</v>
      </c>
      <c r="N10" s="27" t="s">
        <v>12</v>
      </c>
      <c r="O10" s="27">
        <v>2</v>
      </c>
      <c r="P10" s="28" t="s">
        <v>44</v>
      </c>
      <c r="Q10" s="29"/>
      <c r="R10" s="29"/>
      <c r="S10" s="117">
        <f>IFERROR(IF(K10="FOR",5,IF(K10="ART",VLOOKUP(P10,Tables!$L$3:$M$29,2,FALSE)+IF(Q10="",0,VLOOKUP(Q10,Tables!$B$33:$C$40,2,FALSE)),IF(R10="2-",ROUNDUP(0.75*(VLOOKUP(K10,Tables!$E$3:$F$18,2,FALSE)+VLOOKUP(L10,Tables!$O$3:$P$10,2,FALSE)+VLOOKUP(M10,Tables!$R$3:$S$9,2,FALSE)+IF(N10="",0,VLOOKUP(N10,Tables!$B$3:$C$5,2,FALSE))+IF(P10="",0,VLOOKUP(P10,Tables!$L$3:$M$29,2,FALSE))+IF(Q10="",0,VLOOKUP(Q10,Tables!$B$33:$C$40,2,FALSE))),0),VLOOKUP(K10,Tables!$E$3:$F$18,2,FALSE)+VLOOKUP(L10,Tables!$O$3:$P$10,2,FALSE)+VLOOKUP(M10,Tables!$R$3:$S$9,2,FALSE)+IF(N10="",0,VLOOKUP(N10,Tables!$B$3:$C$5,2,FALSE))+IF(P10="",0,VLOOKUP(P10,Tables!$L$3:$M$29,2,FALSE))+IF(Q10="",0,VLOOKUP(Q10,Tables!$B$33:$C$40,2,FALSE))))),"")</f>
        <v>22</v>
      </c>
      <c r="T10" s="118" t="str">
        <f t="shared" si="0"/>
        <v>Y</v>
      </c>
      <c r="U10" s="85"/>
    </row>
    <row r="11" spans="2:21" ht="15.6" hidden="1">
      <c r="B11" s="85"/>
      <c r="C11" s="65"/>
      <c r="D11" s="59"/>
      <c r="E11" s="60"/>
      <c r="F11" s="66"/>
      <c r="G11" s="51">
        <v>0</v>
      </c>
      <c r="H11" s="52">
        <v>3</v>
      </c>
      <c r="I11" s="144" t="s">
        <v>264</v>
      </c>
      <c r="J11" s="145" t="s">
        <v>264</v>
      </c>
      <c r="K11" s="27" t="s">
        <v>45</v>
      </c>
      <c r="L11" s="71">
        <v>3</v>
      </c>
      <c r="M11" s="71">
        <v>1</v>
      </c>
      <c r="N11" s="27" t="s">
        <v>12</v>
      </c>
      <c r="O11" s="27">
        <v>1</v>
      </c>
      <c r="P11" s="28" t="s">
        <v>44</v>
      </c>
      <c r="Q11" s="29"/>
      <c r="R11" s="29"/>
      <c r="S11" s="117">
        <f>IFERROR(IF(K11="FOR",5,IF(K11="ART",VLOOKUP(P11,Tables!$L$3:$M$29,2,FALSE)+IF(Q11="",0,VLOOKUP(Q11,Tables!$B$33:$C$40,2,FALSE)),IF(R11="2-",ROUNDUP(0.75*(VLOOKUP(K11,Tables!$E$3:$F$18,2,FALSE)+VLOOKUP(L11,Tables!$O$3:$P$10,2,FALSE)+VLOOKUP(M11,Tables!$R$3:$S$9,2,FALSE)+IF(N11="",0,VLOOKUP(N11,Tables!$B$3:$C$5,2,FALSE))+IF(P11="",0,VLOOKUP(P11,Tables!$L$3:$M$29,2,FALSE))+IF(Q11="",0,VLOOKUP(Q11,Tables!$B$33:$C$40,2,FALSE))),0),VLOOKUP(K11,Tables!$E$3:$F$18,2,FALSE)+VLOOKUP(L11,Tables!$O$3:$P$10,2,FALSE)+VLOOKUP(M11,Tables!$R$3:$S$9,2,FALSE)+IF(N11="",0,VLOOKUP(N11,Tables!$B$3:$C$5,2,FALSE))+IF(P11="",0,VLOOKUP(P11,Tables!$L$3:$M$29,2,FALSE))+IF(Q11="",0,VLOOKUP(Q11,Tables!$B$33:$C$40,2,FALSE))))),"")</f>
        <v>19</v>
      </c>
      <c r="T11" s="118" t="str">
        <f t="shared" si="0"/>
        <v/>
      </c>
      <c r="U11" s="85"/>
    </row>
    <row r="12" spans="2:21" ht="15.6" hidden="1">
      <c r="B12" s="85"/>
      <c r="C12" s="65"/>
      <c r="D12" s="59"/>
      <c r="E12" s="60"/>
      <c r="F12" s="66"/>
      <c r="G12" s="51">
        <v>0</v>
      </c>
      <c r="H12" s="52">
        <v>6</v>
      </c>
      <c r="I12" s="144" t="s">
        <v>265</v>
      </c>
      <c r="J12" s="145" t="s">
        <v>265</v>
      </c>
      <c r="K12" s="27" t="s">
        <v>38</v>
      </c>
      <c r="L12" s="71">
        <v>6</v>
      </c>
      <c r="M12" s="71">
        <v>2</v>
      </c>
      <c r="N12" s="27" t="s">
        <v>37</v>
      </c>
      <c r="O12" s="27">
        <v>3</v>
      </c>
      <c r="P12" s="28" t="s">
        <v>17</v>
      </c>
      <c r="Q12" s="29"/>
      <c r="R12" s="29"/>
      <c r="S12" s="117">
        <f>IFERROR(IF(K12="FOR",5,IF(K12="ART",VLOOKUP(P12,Tables!$L$3:$M$29,2,FALSE)+IF(Q12="",0,VLOOKUP(Q12,Tables!$B$33:$C$40,2,FALSE)),IF(R12="2-",ROUNDUP(0.75*(VLOOKUP(K12,Tables!$E$3:$F$18,2,FALSE)+VLOOKUP(L12,Tables!$O$3:$P$10,2,FALSE)+VLOOKUP(M12,Tables!$R$3:$S$9,2,FALSE)+IF(N12="",0,VLOOKUP(N12,Tables!$B$3:$C$5,2,FALSE))+IF(P12="",0,VLOOKUP(P12,Tables!$L$3:$M$29,2,FALSE))+IF(Q12="",0,VLOOKUP(Q12,Tables!$B$33:$C$40,2,FALSE))),0),VLOOKUP(K12,Tables!$E$3:$F$18,2,FALSE)+VLOOKUP(L12,Tables!$O$3:$P$10,2,FALSE)+VLOOKUP(M12,Tables!$R$3:$S$9,2,FALSE)+IF(N12="",0,VLOOKUP(N12,Tables!$B$3:$C$5,2,FALSE))+IF(P12="",0,VLOOKUP(P12,Tables!$L$3:$M$29,2,FALSE))+IF(Q12="",0,VLOOKUP(Q12,Tables!$B$33:$C$40,2,FALSE))))),"")</f>
        <v>34</v>
      </c>
      <c r="T12" s="118" t="str">
        <f t="shared" si="0"/>
        <v/>
      </c>
      <c r="U12" s="85"/>
    </row>
    <row r="13" spans="2:21" ht="15.6" hidden="1">
      <c r="B13" s="85"/>
      <c r="C13" s="65"/>
      <c r="D13" s="59"/>
      <c r="E13" s="60"/>
      <c r="F13" s="66"/>
      <c r="G13" s="51" t="s">
        <v>95</v>
      </c>
      <c r="H13" s="52"/>
      <c r="I13" s="144" t="s">
        <v>266</v>
      </c>
      <c r="J13" s="145" t="s">
        <v>266</v>
      </c>
      <c r="K13" s="27" t="s">
        <v>38</v>
      </c>
      <c r="L13" s="71">
        <v>6</v>
      </c>
      <c r="M13" s="71">
        <v>2</v>
      </c>
      <c r="N13" s="27" t="s">
        <v>37</v>
      </c>
      <c r="O13" s="27">
        <v>3</v>
      </c>
      <c r="P13" s="28"/>
      <c r="Q13" s="29"/>
      <c r="R13" s="29"/>
      <c r="S13" s="117">
        <f>IFERROR(IF(K13="FOR",5,IF(K13="ART",VLOOKUP(P13,Tables!$L$3:$M$29,2,FALSE)+IF(Q13="",0,VLOOKUP(Q13,Tables!$B$33:$C$40,2,FALSE)),IF(R13="2-",ROUNDUP(0.75*(VLOOKUP(K13,Tables!$E$3:$F$18,2,FALSE)+VLOOKUP(L13,Tables!$O$3:$P$10,2,FALSE)+VLOOKUP(M13,Tables!$R$3:$S$9,2,FALSE)+IF(N13="",0,VLOOKUP(N13,Tables!$B$3:$C$5,2,FALSE))+IF(P13="",0,VLOOKUP(P13,Tables!$L$3:$M$29,2,FALSE))+IF(Q13="",0,VLOOKUP(Q13,Tables!$B$33:$C$40,2,FALSE))),0),VLOOKUP(K13,Tables!$E$3:$F$18,2,FALSE)+VLOOKUP(L13,Tables!$O$3:$P$10,2,FALSE)+VLOOKUP(M13,Tables!$R$3:$S$9,2,FALSE)+IF(N13="",0,VLOOKUP(N13,Tables!$B$3:$C$5,2,FALSE))+IF(P13="",0,VLOOKUP(P13,Tables!$L$3:$M$29,2,FALSE))+IF(Q13="",0,VLOOKUP(Q13,Tables!$B$33:$C$40,2,FALSE))))),"")</f>
        <v>31</v>
      </c>
      <c r="T13" s="118" t="str">
        <f t="shared" si="0"/>
        <v/>
      </c>
      <c r="U13" s="85"/>
    </row>
    <row r="14" spans="2:21" ht="15.6" hidden="1">
      <c r="B14" s="85"/>
      <c r="C14" s="65"/>
      <c r="D14" s="59"/>
      <c r="E14" s="60"/>
      <c r="F14" s="66"/>
      <c r="G14" s="51" t="s">
        <v>95</v>
      </c>
      <c r="H14" s="52"/>
      <c r="I14" s="144" t="s">
        <v>266</v>
      </c>
      <c r="J14" s="145" t="s">
        <v>266</v>
      </c>
      <c r="K14" s="27" t="s">
        <v>38</v>
      </c>
      <c r="L14" s="71">
        <v>6</v>
      </c>
      <c r="M14" s="71">
        <v>2</v>
      </c>
      <c r="N14" s="27" t="s">
        <v>37</v>
      </c>
      <c r="O14" s="27">
        <v>3</v>
      </c>
      <c r="P14" s="28" t="s">
        <v>52</v>
      </c>
      <c r="Q14" s="29"/>
      <c r="R14" s="29"/>
      <c r="S14" s="117">
        <f>IFERROR(IF(K14="FOR",5,IF(K14="ART",VLOOKUP(P14,Tables!$L$3:$M$29,2,FALSE)+IF(Q14="",0,VLOOKUP(Q14,Tables!$B$33:$C$40,2,FALSE)),IF(R14="2-",ROUNDUP(0.75*(VLOOKUP(K14,Tables!$E$3:$F$18,2,FALSE)+VLOOKUP(L14,Tables!$O$3:$P$10,2,FALSE)+VLOOKUP(M14,Tables!$R$3:$S$9,2,FALSE)+IF(N14="",0,VLOOKUP(N14,Tables!$B$3:$C$5,2,FALSE))+IF(P14="",0,VLOOKUP(P14,Tables!$L$3:$M$29,2,FALSE))+IF(Q14="",0,VLOOKUP(Q14,Tables!$B$33:$C$40,2,FALSE))),0),VLOOKUP(K14,Tables!$E$3:$F$18,2,FALSE)+VLOOKUP(L14,Tables!$O$3:$P$10,2,FALSE)+VLOOKUP(M14,Tables!$R$3:$S$9,2,FALSE)+IF(N14="",0,VLOOKUP(N14,Tables!$B$3:$C$5,2,FALSE))+IF(P14="",0,VLOOKUP(P14,Tables!$L$3:$M$29,2,FALSE))+IF(Q14="",0,VLOOKUP(Q14,Tables!$B$33:$C$40,2,FALSE))))),"")</f>
        <v>33</v>
      </c>
      <c r="T14" s="118" t="str">
        <f t="shared" si="0"/>
        <v/>
      </c>
      <c r="U14" s="85"/>
    </row>
    <row r="15" spans="2:21" ht="15.6">
      <c r="B15" s="85"/>
      <c r="C15" s="65"/>
      <c r="D15" s="59">
        <v>2</v>
      </c>
      <c r="E15" s="60"/>
      <c r="F15" s="66"/>
      <c r="G15" s="51">
        <v>2</v>
      </c>
      <c r="H15" s="52">
        <v>6</v>
      </c>
      <c r="I15" s="144" t="s">
        <v>267</v>
      </c>
      <c r="J15" s="145" t="s">
        <v>267</v>
      </c>
      <c r="K15" s="27" t="s">
        <v>38</v>
      </c>
      <c r="L15" s="71">
        <v>5</v>
      </c>
      <c r="M15" s="71">
        <v>2</v>
      </c>
      <c r="N15" s="27" t="s">
        <v>12</v>
      </c>
      <c r="O15" s="27">
        <v>2</v>
      </c>
      <c r="P15" s="28" t="s">
        <v>17</v>
      </c>
      <c r="Q15" s="29"/>
      <c r="R15" s="29"/>
      <c r="S15" s="117">
        <f>IFERROR(IF(K15="FOR",5,IF(K15="ART",VLOOKUP(P15,Tables!$L$3:$M$29,2,FALSE)+IF(Q15="",0,VLOOKUP(Q15,Tables!$B$33:$C$40,2,FALSE)),IF(R15="2-",ROUNDUP(0.75*(VLOOKUP(K15,Tables!$E$3:$F$18,2,FALSE)+VLOOKUP(L15,Tables!$O$3:$P$10,2,FALSE)+VLOOKUP(M15,Tables!$R$3:$S$9,2,FALSE)+IF(N15="",0,VLOOKUP(N15,Tables!$B$3:$C$5,2,FALSE))+IF(P15="",0,VLOOKUP(P15,Tables!$L$3:$M$29,2,FALSE))+IF(Q15="",0,VLOOKUP(Q15,Tables!$B$33:$C$40,2,FALSE))),0),VLOOKUP(K15,Tables!$E$3:$F$18,2,FALSE)+VLOOKUP(L15,Tables!$O$3:$P$10,2,FALSE)+VLOOKUP(M15,Tables!$R$3:$S$9,2,FALSE)+IF(N15="",0,VLOOKUP(N15,Tables!$B$3:$C$5,2,FALSE))+IF(P15="",0,VLOOKUP(P15,Tables!$L$3:$M$29,2,FALSE))+IF(Q15="",0,VLOOKUP(Q15,Tables!$B$33:$C$40,2,FALSE))))),"")</f>
        <v>23</v>
      </c>
      <c r="T15" s="118" t="str">
        <f t="shared" si="0"/>
        <v>Y</v>
      </c>
      <c r="U15" s="85"/>
    </row>
    <row r="16" spans="2:21" ht="15.6">
      <c r="B16" s="85"/>
      <c r="C16" s="65"/>
      <c r="D16" s="59">
        <v>2</v>
      </c>
      <c r="E16" s="60"/>
      <c r="F16" s="66"/>
      <c r="G16" s="51">
        <v>2</v>
      </c>
      <c r="H16" s="52">
        <v>6</v>
      </c>
      <c r="I16" s="144" t="s">
        <v>268</v>
      </c>
      <c r="J16" s="145" t="s">
        <v>268</v>
      </c>
      <c r="K16" s="27" t="s">
        <v>40</v>
      </c>
      <c r="L16" s="71">
        <v>5</v>
      </c>
      <c r="M16" s="71">
        <v>1</v>
      </c>
      <c r="N16" s="27" t="s">
        <v>12</v>
      </c>
      <c r="O16" s="27">
        <v>2</v>
      </c>
      <c r="P16" s="28" t="s">
        <v>113</v>
      </c>
      <c r="Q16" s="29"/>
      <c r="R16" s="29"/>
      <c r="S16" s="117">
        <f>IFERROR(IF(K16="FOR",5,IF(K16="ART",VLOOKUP(P16,Tables!$L$3:$M$29,2,FALSE)+IF(Q16="",0,VLOOKUP(Q16,Tables!$B$33:$C$40,2,FALSE)),IF(R16="2-",ROUNDUP(0.75*(VLOOKUP(K16,Tables!$E$3:$F$18,2,FALSE)+VLOOKUP(L16,Tables!$O$3:$P$10,2,FALSE)+VLOOKUP(M16,Tables!$R$3:$S$9,2,FALSE)+IF(N16="",0,VLOOKUP(N16,Tables!$B$3:$C$5,2,FALSE))+IF(P16="",0,VLOOKUP(P16,Tables!$L$3:$M$29,2,FALSE))+IF(Q16="",0,VLOOKUP(Q16,Tables!$B$33:$C$40,2,FALSE))),0),VLOOKUP(K16,Tables!$E$3:$F$18,2,FALSE)+VLOOKUP(L16,Tables!$O$3:$P$10,2,FALSE)+VLOOKUP(M16,Tables!$R$3:$S$9,2,FALSE)+IF(N16="",0,VLOOKUP(N16,Tables!$B$3:$C$5,2,FALSE))+IF(P16="",0,VLOOKUP(P16,Tables!$L$3:$M$29,2,FALSE))+IF(Q16="",0,VLOOKUP(Q16,Tables!$B$33:$C$40,2,FALSE))))),"")</f>
        <v>20</v>
      </c>
      <c r="T16" s="118" t="str">
        <f t="shared" si="0"/>
        <v>Y</v>
      </c>
      <c r="U16" s="85"/>
    </row>
    <row r="17" spans="2:21" ht="15.6" hidden="1">
      <c r="B17" s="85"/>
      <c r="C17" s="65"/>
      <c r="D17" s="59"/>
      <c r="E17" s="60"/>
      <c r="F17" s="66"/>
      <c r="G17" s="51" t="s">
        <v>95</v>
      </c>
      <c r="H17" s="52"/>
      <c r="I17" s="144" t="s">
        <v>269</v>
      </c>
      <c r="J17" s="145" t="s">
        <v>269</v>
      </c>
      <c r="K17" s="27" t="s">
        <v>38</v>
      </c>
      <c r="L17" s="71">
        <v>5</v>
      </c>
      <c r="M17" s="71">
        <v>2</v>
      </c>
      <c r="N17" s="27" t="s">
        <v>12</v>
      </c>
      <c r="O17" s="27">
        <v>2</v>
      </c>
      <c r="P17" s="28" t="s">
        <v>52</v>
      </c>
      <c r="Q17" s="29"/>
      <c r="R17" s="29"/>
      <c r="S17" s="117">
        <f>IFERROR(IF(K17="FOR",5,IF(K17="ART",VLOOKUP(P17,Tables!$L$3:$M$29,2,FALSE)+IF(Q17="",0,VLOOKUP(Q17,Tables!$B$33:$C$40,2,FALSE)),IF(R17="2-",ROUNDUP(0.75*(VLOOKUP(K17,Tables!$E$3:$F$18,2,FALSE)+VLOOKUP(L17,Tables!$O$3:$P$10,2,FALSE)+VLOOKUP(M17,Tables!$R$3:$S$9,2,FALSE)+IF(N17="",0,VLOOKUP(N17,Tables!$B$3:$C$5,2,FALSE))+IF(P17="",0,VLOOKUP(P17,Tables!$L$3:$M$29,2,FALSE))+IF(Q17="",0,VLOOKUP(Q17,Tables!$B$33:$C$40,2,FALSE))),0),VLOOKUP(K17,Tables!$E$3:$F$18,2,FALSE)+VLOOKUP(L17,Tables!$O$3:$P$10,2,FALSE)+VLOOKUP(M17,Tables!$R$3:$S$9,2,FALSE)+IF(N17="",0,VLOOKUP(N17,Tables!$B$3:$C$5,2,FALSE))+IF(P17="",0,VLOOKUP(P17,Tables!$L$3:$M$29,2,FALSE))+IF(Q17="",0,VLOOKUP(Q17,Tables!$B$33:$C$40,2,FALSE))))),"")</f>
        <v>22</v>
      </c>
      <c r="T17" s="118" t="str">
        <f t="shared" si="0"/>
        <v/>
      </c>
      <c r="U17" s="85"/>
    </row>
    <row r="18" spans="2:21" ht="15.6" hidden="1">
      <c r="B18" s="85"/>
      <c r="C18" s="65"/>
      <c r="D18" s="59"/>
      <c r="E18" s="60"/>
      <c r="F18" s="66"/>
      <c r="G18" s="51">
        <v>0</v>
      </c>
      <c r="H18" s="52">
        <v>8</v>
      </c>
      <c r="I18" s="144" t="s">
        <v>270</v>
      </c>
      <c r="J18" s="145" t="s">
        <v>270</v>
      </c>
      <c r="K18" s="27" t="s">
        <v>40</v>
      </c>
      <c r="L18" s="71">
        <v>4</v>
      </c>
      <c r="M18" s="71">
        <v>4</v>
      </c>
      <c r="N18" s="27" t="s">
        <v>14</v>
      </c>
      <c r="O18" s="27">
        <v>1</v>
      </c>
      <c r="P18" s="28"/>
      <c r="Q18" s="29" t="s">
        <v>18</v>
      </c>
      <c r="R18" s="29"/>
      <c r="S18" s="117">
        <f>IFERROR(IF(K18="FOR",5,IF(K18="ART",VLOOKUP(P18,Tables!$L$3:$M$29,2,FALSE)+IF(Q18="",0,VLOOKUP(Q18,Tables!$B$33:$C$40,2,FALSE)),IF(R18="2-",ROUNDUP(0.75*(VLOOKUP(K18,Tables!$E$3:$F$18,2,FALSE)+VLOOKUP(L18,Tables!$O$3:$P$10,2,FALSE)+VLOOKUP(M18,Tables!$R$3:$S$9,2,FALSE)+IF(N18="",0,VLOOKUP(N18,Tables!$B$3:$C$5,2,FALSE))+IF(P18="",0,VLOOKUP(P18,Tables!$L$3:$M$29,2,FALSE))+IF(Q18="",0,VLOOKUP(Q18,Tables!$B$33:$C$40,2,FALSE))),0),VLOOKUP(K18,Tables!$E$3:$F$18,2,FALSE)+VLOOKUP(L18,Tables!$O$3:$P$10,2,FALSE)+VLOOKUP(M18,Tables!$R$3:$S$9,2,FALSE)+IF(N18="",0,VLOOKUP(N18,Tables!$B$3:$C$5,2,FALSE))+IF(P18="",0,VLOOKUP(P18,Tables!$L$3:$M$29,2,FALSE))+IF(Q18="",0,VLOOKUP(Q18,Tables!$B$33:$C$40,2,FALSE))))),"")</f>
        <v>10</v>
      </c>
      <c r="T18" s="118" t="str">
        <f t="shared" si="0"/>
        <v/>
      </c>
      <c r="U18" s="85"/>
    </row>
    <row r="19" spans="2:21" ht="15.6" hidden="1">
      <c r="B19" s="85"/>
      <c r="C19" s="65"/>
      <c r="D19" s="59"/>
      <c r="E19" s="60"/>
      <c r="F19" s="66"/>
      <c r="G19" s="51" t="s">
        <v>284</v>
      </c>
      <c r="H19" s="52" t="s">
        <v>286</v>
      </c>
      <c r="I19" s="144" t="s">
        <v>270</v>
      </c>
      <c r="J19" s="145" t="s">
        <v>270</v>
      </c>
      <c r="K19" s="27" t="s">
        <v>40</v>
      </c>
      <c r="L19" s="71">
        <v>5</v>
      </c>
      <c r="M19" s="71">
        <v>4</v>
      </c>
      <c r="N19" s="27" t="s">
        <v>14</v>
      </c>
      <c r="O19" s="27">
        <v>2</v>
      </c>
      <c r="P19" s="28"/>
      <c r="Q19" s="29" t="s">
        <v>18</v>
      </c>
      <c r="R19" s="29"/>
      <c r="S19" s="117">
        <f>IFERROR(IF(K19="FOR",5,IF(K19="ART",VLOOKUP(P19,Tables!$L$3:$M$29,2,FALSE)+IF(Q19="",0,VLOOKUP(Q19,Tables!$B$33:$C$40,2,FALSE)),IF(R19="2-",ROUNDUP(0.75*(VLOOKUP(K19,Tables!$E$3:$F$18,2,FALSE)+VLOOKUP(L19,Tables!$O$3:$P$10,2,FALSE)+VLOOKUP(M19,Tables!$R$3:$S$9,2,FALSE)+IF(N19="",0,VLOOKUP(N19,Tables!$B$3:$C$5,2,FALSE))+IF(P19="",0,VLOOKUP(P19,Tables!$L$3:$M$29,2,FALSE))+IF(Q19="",0,VLOOKUP(Q19,Tables!$B$33:$C$40,2,FALSE))),0),VLOOKUP(K19,Tables!$E$3:$F$18,2,FALSE)+VLOOKUP(L19,Tables!$O$3:$P$10,2,FALSE)+VLOOKUP(M19,Tables!$R$3:$S$9,2,FALSE)+IF(N19="",0,VLOOKUP(N19,Tables!$B$3:$C$5,2,FALSE))+IF(P19="",0,VLOOKUP(P19,Tables!$L$3:$M$29,2,FALSE))+IF(Q19="",0,VLOOKUP(Q19,Tables!$B$33:$C$40,2,FALSE))))),"")</f>
        <v>15</v>
      </c>
      <c r="T19" s="118" t="str">
        <f t="shared" si="0"/>
        <v/>
      </c>
      <c r="U19" s="85"/>
    </row>
    <row r="20" spans="2:21" ht="15.6">
      <c r="B20" s="85"/>
      <c r="C20" s="65"/>
      <c r="D20" s="59"/>
      <c r="E20" s="60">
        <v>2</v>
      </c>
      <c r="F20" s="66"/>
      <c r="G20" s="51" t="s">
        <v>95</v>
      </c>
      <c r="H20" s="52"/>
      <c r="I20" s="144" t="s">
        <v>270</v>
      </c>
      <c r="J20" s="145" t="s">
        <v>270</v>
      </c>
      <c r="K20" s="27" t="s">
        <v>38</v>
      </c>
      <c r="L20" s="71">
        <v>4</v>
      </c>
      <c r="M20" s="71">
        <v>4</v>
      </c>
      <c r="N20" s="27" t="s">
        <v>14</v>
      </c>
      <c r="O20" s="27">
        <v>1</v>
      </c>
      <c r="P20" s="28"/>
      <c r="Q20" s="29" t="s">
        <v>18</v>
      </c>
      <c r="R20" s="29" t="s">
        <v>222</v>
      </c>
      <c r="S20" s="117">
        <f>IFERROR(IF(K20="FOR",5,IF(K20="ART",VLOOKUP(P20,Tables!$L$3:$M$29,2,FALSE)+IF(Q20="",0,VLOOKUP(Q20,Tables!$B$33:$C$40,2,FALSE)),IF(R20="2-",ROUNDUP(0.75*(VLOOKUP(K20,Tables!$E$3:$F$18,2,FALSE)+VLOOKUP(L20,Tables!$O$3:$P$10,2,FALSE)+VLOOKUP(M20,Tables!$R$3:$S$9,2,FALSE)+IF(N20="",0,VLOOKUP(N20,Tables!$B$3:$C$5,2,FALSE))+IF(P20="",0,VLOOKUP(P20,Tables!$L$3:$M$29,2,FALSE))+IF(Q20="",0,VLOOKUP(Q20,Tables!$B$33:$C$40,2,FALSE))),0),VLOOKUP(K20,Tables!$E$3:$F$18,2,FALSE)+VLOOKUP(L20,Tables!$O$3:$P$10,2,FALSE)+VLOOKUP(M20,Tables!$R$3:$S$9,2,FALSE)+IF(N20="",0,VLOOKUP(N20,Tables!$B$3:$C$5,2,FALSE))+IF(P20="",0,VLOOKUP(P20,Tables!$L$3:$M$29,2,FALSE))+IF(Q20="",0,VLOOKUP(Q20,Tables!$B$33:$C$40,2,FALSE))))),"")</f>
        <v>9</v>
      </c>
      <c r="T20" s="118" t="str">
        <f t="shared" si="0"/>
        <v>Y</v>
      </c>
      <c r="U20" s="85"/>
    </row>
    <row r="21" spans="2:21" ht="15.6">
      <c r="B21" s="85"/>
      <c r="C21" s="65"/>
      <c r="D21" s="59"/>
      <c r="E21" s="60">
        <v>2</v>
      </c>
      <c r="F21" s="66"/>
      <c r="G21" s="51" t="s">
        <v>284</v>
      </c>
      <c r="H21" s="52" t="s">
        <v>287</v>
      </c>
      <c r="I21" s="144" t="s">
        <v>270</v>
      </c>
      <c r="J21" s="145" t="s">
        <v>270</v>
      </c>
      <c r="K21" s="27" t="s">
        <v>38</v>
      </c>
      <c r="L21" s="71">
        <v>5</v>
      </c>
      <c r="M21" s="71">
        <v>4</v>
      </c>
      <c r="N21" s="27" t="s">
        <v>14</v>
      </c>
      <c r="O21" s="27">
        <v>2</v>
      </c>
      <c r="P21" s="28"/>
      <c r="Q21" s="29" t="s">
        <v>18</v>
      </c>
      <c r="R21" s="29">
        <v>1</v>
      </c>
      <c r="S21" s="117">
        <f>IFERROR(IF(K21="FOR",5,IF(K21="ART",VLOOKUP(P21,Tables!$L$3:$M$29,2,FALSE)+IF(Q21="",0,VLOOKUP(Q21,Tables!$B$33:$C$40,2,FALSE)),IF(R21="2-",ROUNDUP(0.75*(VLOOKUP(K21,Tables!$E$3:$F$18,2,FALSE)+VLOOKUP(L21,Tables!$O$3:$P$10,2,FALSE)+VLOOKUP(M21,Tables!$R$3:$S$9,2,FALSE)+IF(N21="",0,VLOOKUP(N21,Tables!$B$3:$C$5,2,FALSE))+IF(P21="",0,VLOOKUP(P21,Tables!$L$3:$M$29,2,FALSE))+IF(Q21="",0,VLOOKUP(Q21,Tables!$B$33:$C$40,2,FALSE))),0),VLOOKUP(K21,Tables!$E$3:$F$18,2,FALSE)+VLOOKUP(L21,Tables!$O$3:$P$10,2,FALSE)+VLOOKUP(M21,Tables!$R$3:$S$9,2,FALSE)+IF(N21="",0,VLOOKUP(N21,Tables!$B$3:$C$5,2,FALSE))+IF(P21="",0,VLOOKUP(P21,Tables!$L$3:$M$29,2,FALSE))+IF(Q21="",0,VLOOKUP(Q21,Tables!$B$33:$C$40,2,FALSE))))),"")</f>
        <v>16</v>
      </c>
      <c r="T21" s="118" t="str">
        <f t="shared" si="0"/>
        <v>Y</v>
      </c>
      <c r="U21" s="85"/>
    </row>
    <row r="22" spans="2:21" ht="15.6" hidden="1">
      <c r="B22" s="85"/>
      <c r="C22" s="65"/>
      <c r="D22" s="59"/>
      <c r="E22" s="60"/>
      <c r="F22" s="66"/>
      <c r="G22" s="51">
        <v>0</v>
      </c>
      <c r="H22" s="52">
        <v>4</v>
      </c>
      <c r="I22" s="144" t="s">
        <v>271</v>
      </c>
      <c r="J22" s="145" t="s">
        <v>271</v>
      </c>
      <c r="K22" s="27" t="s">
        <v>40</v>
      </c>
      <c r="L22" s="71">
        <v>5</v>
      </c>
      <c r="M22" s="71">
        <v>4</v>
      </c>
      <c r="N22" s="27" t="s">
        <v>14</v>
      </c>
      <c r="O22" s="27">
        <v>2</v>
      </c>
      <c r="P22" s="28"/>
      <c r="Q22" s="29" t="s">
        <v>18</v>
      </c>
      <c r="R22" s="29"/>
      <c r="S22" s="117">
        <f>IFERROR(IF(K22="FOR",5,IF(K22="ART",VLOOKUP(P22,Tables!$L$3:$M$29,2,FALSE)+IF(Q22="",0,VLOOKUP(Q22,Tables!$B$33:$C$40,2,FALSE)),IF(R22="2-",ROUNDUP(0.75*(VLOOKUP(K22,Tables!$E$3:$F$18,2,FALSE)+VLOOKUP(L22,Tables!$O$3:$P$10,2,FALSE)+VLOOKUP(M22,Tables!$R$3:$S$9,2,FALSE)+IF(N22="",0,VLOOKUP(N22,Tables!$B$3:$C$5,2,FALSE))+IF(P22="",0,VLOOKUP(P22,Tables!$L$3:$M$29,2,FALSE))+IF(Q22="",0,VLOOKUP(Q22,Tables!$B$33:$C$40,2,FALSE))),0),VLOOKUP(K22,Tables!$E$3:$F$18,2,FALSE)+VLOOKUP(L22,Tables!$O$3:$P$10,2,FALSE)+VLOOKUP(M22,Tables!$R$3:$S$9,2,FALSE)+IF(N22="",0,VLOOKUP(N22,Tables!$B$3:$C$5,2,FALSE))+IF(P22="",0,VLOOKUP(P22,Tables!$L$3:$M$29,2,FALSE))+IF(Q22="",0,VLOOKUP(Q22,Tables!$B$33:$C$40,2,FALSE))))),"")</f>
        <v>15</v>
      </c>
      <c r="T22" s="118" t="str">
        <f t="shared" si="0"/>
        <v/>
      </c>
      <c r="U22" s="85"/>
    </row>
    <row r="23" spans="2:21" ht="15.6" hidden="1">
      <c r="B23" s="85"/>
      <c r="C23" s="65"/>
      <c r="D23" s="59"/>
      <c r="E23" s="60"/>
      <c r="F23" s="66"/>
      <c r="G23" s="51">
        <v>0</v>
      </c>
      <c r="H23" s="52">
        <v>4</v>
      </c>
      <c r="I23" s="144" t="s">
        <v>272</v>
      </c>
      <c r="J23" s="145" t="s">
        <v>272</v>
      </c>
      <c r="K23" s="27" t="s">
        <v>40</v>
      </c>
      <c r="L23" s="71">
        <v>5</v>
      </c>
      <c r="M23" s="71">
        <v>2</v>
      </c>
      <c r="N23" s="27" t="s">
        <v>12</v>
      </c>
      <c r="O23" s="27">
        <v>2</v>
      </c>
      <c r="P23" s="28" t="s">
        <v>113</v>
      </c>
      <c r="Q23" s="29"/>
      <c r="R23" s="29"/>
      <c r="S23" s="117">
        <f>IFERROR(IF(K23="FOR",5,IF(K23="ART",VLOOKUP(P23,Tables!$L$3:$M$29,2,FALSE)+IF(Q23="",0,VLOOKUP(Q23,Tables!$B$33:$C$40,2,FALSE)),IF(R23="2-",ROUNDUP(0.75*(VLOOKUP(K23,Tables!$E$3:$F$18,2,FALSE)+VLOOKUP(L23,Tables!$O$3:$P$10,2,FALSE)+VLOOKUP(M23,Tables!$R$3:$S$9,2,FALSE)+IF(N23="",0,VLOOKUP(N23,Tables!$B$3:$C$5,2,FALSE))+IF(P23="",0,VLOOKUP(P23,Tables!$L$3:$M$29,2,FALSE))+IF(Q23="",0,VLOOKUP(Q23,Tables!$B$33:$C$40,2,FALSE))),0),VLOOKUP(K23,Tables!$E$3:$F$18,2,FALSE)+VLOOKUP(L23,Tables!$O$3:$P$10,2,FALSE)+VLOOKUP(M23,Tables!$R$3:$S$9,2,FALSE)+IF(N23="",0,VLOOKUP(N23,Tables!$B$3:$C$5,2,FALSE))+IF(P23="",0,VLOOKUP(P23,Tables!$L$3:$M$29,2,FALSE))+IF(Q23="",0,VLOOKUP(Q23,Tables!$B$33:$C$40,2,FALSE))))),"")</f>
        <v>21</v>
      </c>
      <c r="T23" s="118" t="str">
        <f t="shared" si="0"/>
        <v/>
      </c>
      <c r="U23" s="85"/>
    </row>
    <row r="24" spans="2:21" ht="15.6" hidden="1">
      <c r="B24" s="85"/>
      <c r="C24" s="65"/>
      <c r="D24" s="59"/>
      <c r="E24" s="60"/>
      <c r="F24" s="66"/>
      <c r="G24" s="51">
        <v>0</v>
      </c>
      <c r="H24" s="52">
        <v>2</v>
      </c>
      <c r="I24" s="144" t="s">
        <v>273</v>
      </c>
      <c r="J24" s="145" t="s">
        <v>273</v>
      </c>
      <c r="K24" s="27" t="s">
        <v>40</v>
      </c>
      <c r="L24" s="71">
        <v>5</v>
      </c>
      <c r="M24" s="71">
        <v>2</v>
      </c>
      <c r="N24" s="27" t="s">
        <v>12</v>
      </c>
      <c r="O24" s="27">
        <v>2</v>
      </c>
      <c r="P24" s="28"/>
      <c r="Q24" s="29"/>
      <c r="R24" s="29"/>
      <c r="S24" s="117">
        <f>IFERROR(IF(K24="FOR",5,IF(K24="ART",VLOOKUP(P24,Tables!$L$3:$M$29,2,FALSE)+IF(Q24="",0,VLOOKUP(Q24,Tables!$B$33:$C$40,2,FALSE)),IF(R24="2-",ROUNDUP(0.75*(VLOOKUP(K24,Tables!$E$3:$F$18,2,FALSE)+VLOOKUP(L24,Tables!$O$3:$P$10,2,FALSE)+VLOOKUP(M24,Tables!$R$3:$S$9,2,FALSE)+IF(N24="",0,VLOOKUP(N24,Tables!$B$3:$C$5,2,FALSE))+IF(P24="",0,VLOOKUP(P24,Tables!$L$3:$M$29,2,FALSE))+IF(Q24="",0,VLOOKUP(Q24,Tables!$B$33:$C$40,2,FALSE))),0),VLOOKUP(K24,Tables!$E$3:$F$18,2,FALSE)+VLOOKUP(L24,Tables!$O$3:$P$10,2,FALSE)+VLOOKUP(M24,Tables!$R$3:$S$9,2,FALSE)+IF(N24="",0,VLOOKUP(N24,Tables!$B$3:$C$5,2,FALSE))+IF(P24="",0,VLOOKUP(P24,Tables!$L$3:$M$29,2,FALSE))+IF(Q24="",0,VLOOKUP(Q24,Tables!$B$33:$C$40,2,FALSE))))),"")</f>
        <v>19</v>
      </c>
      <c r="T24" s="118" t="str">
        <f t="shared" si="0"/>
        <v/>
      </c>
      <c r="U24" s="85"/>
    </row>
    <row r="25" spans="2:21" ht="15.6">
      <c r="B25" s="85"/>
      <c r="C25" s="65"/>
      <c r="D25" s="59"/>
      <c r="E25" s="60">
        <v>1</v>
      </c>
      <c r="F25" s="66"/>
      <c r="G25" s="51" t="s">
        <v>95</v>
      </c>
      <c r="H25" s="52"/>
      <c r="I25" s="144" t="s">
        <v>274</v>
      </c>
      <c r="J25" s="145" t="s">
        <v>274</v>
      </c>
      <c r="K25" s="27" t="s">
        <v>40</v>
      </c>
      <c r="L25" s="71">
        <v>4</v>
      </c>
      <c r="M25" s="71">
        <v>1</v>
      </c>
      <c r="N25" s="27" t="s">
        <v>12</v>
      </c>
      <c r="O25" s="27">
        <v>1</v>
      </c>
      <c r="P25" s="28" t="s">
        <v>44</v>
      </c>
      <c r="Q25" s="29"/>
      <c r="R25" s="29"/>
      <c r="S25" s="117">
        <f>IFERROR(IF(K25="FOR",5,IF(K25="ART",VLOOKUP(P25,Tables!$L$3:$M$29,2,FALSE)+IF(Q25="",0,VLOOKUP(Q25,Tables!$B$33:$C$40,2,FALSE)),IF(R25="2-",ROUNDUP(0.75*(VLOOKUP(K25,Tables!$E$3:$F$18,2,FALSE)+VLOOKUP(L25,Tables!$O$3:$P$10,2,FALSE)+VLOOKUP(M25,Tables!$R$3:$S$9,2,FALSE)+IF(N25="",0,VLOOKUP(N25,Tables!$B$3:$C$5,2,FALSE))+IF(P25="",0,VLOOKUP(P25,Tables!$L$3:$M$29,2,FALSE))+IF(Q25="",0,VLOOKUP(Q25,Tables!$B$33:$C$40,2,FALSE))),0),VLOOKUP(K25,Tables!$E$3:$F$18,2,FALSE)+VLOOKUP(L25,Tables!$O$3:$P$10,2,FALSE)+VLOOKUP(M25,Tables!$R$3:$S$9,2,FALSE)+IF(N25="",0,VLOOKUP(N25,Tables!$B$3:$C$5,2,FALSE))+IF(P25="",0,VLOOKUP(P25,Tables!$L$3:$M$29,2,FALSE))+IF(Q25="",0,VLOOKUP(Q25,Tables!$B$33:$C$40,2,FALSE))))),"")</f>
        <v>15</v>
      </c>
      <c r="T25" s="118" t="str">
        <f t="shared" si="0"/>
        <v>Y</v>
      </c>
      <c r="U25" s="85"/>
    </row>
    <row r="26" spans="2:21" ht="15.6" hidden="1">
      <c r="B26" s="85"/>
      <c r="C26" s="65"/>
      <c r="D26" s="59"/>
      <c r="E26" s="60"/>
      <c r="F26" s="66"/>
      <c r="G26" s="51">
        <v>0</v>
      </c>
      <c r="H26" s="52">
        <v>2</v>
      </c>
      <c r="I26" s="144" t="s">
        <v>275</v>
      </c>
      <c r="J26" s="145" t="s">
        <v>275</v>
      </c>
      <c r="K26" s="27" t="s">
        <v>40</v>
      </c>
      <c r="L26" s="71">
        <v>4</v>
      </c>
      <c r="M26" s="71">
        <v>1</v>
      </c>
      <c r="N26" s="27" t="s">
        <v>14</v>
      </c>
      <c r="O26" s="27">
        <v>1</v>
      </c>
      <c r="P26" s="28" t="s">
        <v>44</v>
      </c>
      <c r="Q26" s="29"/>
      <c r="R26" s="29"/>
      <c r="S26" s="117">
        <f>IFERROR(IF(K26="FOR",5,IF(K26="ART",VLOOKUP(P26,Tables!$L$3:$M$29,2,FALSE)+IF(Q26="",0,VLOOKUP(Q26,Tables!$B$33:$C$40,2,FALSE)),IF(R26="2-",ROUNDUP(0.75*(VLOOKUP(K26,Tables!$E$3:$F$18,2,FALSE)+VLOOKUP(L26,Tables!$O$3:$P$10,2,FALSE)+VLOOKUP(M26,Tables!$R$3:$S$9,2,FALSE)+IF(N26="",0,VLOOKUP(N26,Tables!$B$3:$C$5,2,FALSE))+IF(P26="",0,VLOOKUP(P26,Tables!$L$3:$M$29,2,FALSE))+IF(Q26="",0,VLOOKUP(Q26,Tables!$B$33:$C$40,2,FALSE))),0),VLOOKUP(K26,Tables!$E$3:$F$18,2,FALSE)+VLOOKUP(L26,Tables!$O$3:$P$10,2,FALSE)+VLOOKUP(M26,Tables!$R$3:$S$9,2,FALSE)+IF(N26="",0,VLOOKUP(N26,Tables!$B$3:$C$5,2,FALSE))+IF(P26="",0,VLOOKUP(P26,Tables!$L$3:$M$29,2,FALSE))+IF(Q26="",0,VLOOKUP(Q26,Tables!$B$33:$C$40,2,FALSE))))),"")</f>
        <v>10</v>
      </c>
      <c r="T26" s="118" t="str">
        <f t="shared" si="0"/>
        <v/>
      </c>
      <c r="U26" s="85"/>
    </row>
    <row r="27" spans="2:21" ht="15.6" hidden="1">
      <c r="B27" s="85"/>
      <c r="C27" s="65"/>
      <c r="D27" s="59"/>
      <c r="E27" s="60"/>
      <c r="F27" s="66"/>
      <c r="G27" s="51">
        <v>0</v>
      </c>
      <c r="H27" s="52">
        <v>6</v>
      </c>
      <c r="I27" s="144" t="s">
        <v>276</v>
      </c>
      <c r="J27" s="145" t="s">
        <v>276</v>
      </c>
      <c r="K27" s="27" t="s">
        <v>38</v>
      </c>
      <c r="L27" s="71">
        <v>4</v>
      </c>
      <c r="M27" s="71">
        <v>2</v>
      </c>
      <c r="N27" s="27" t="s">
        <v>14</v>
      </c>
      <c r="O27" s="27">
        <v>1</v>
      </c>
      <c r="P27" s="28"/>
      <c r="Q27" s="29"/>
      <c r="R27" s="29"/>
      <c r="S27" s="117">
        <f>IFERROR(IF(K27="FOR",5,IF(K27="ART",VLOOKUP(P27,Tables!$L$3:$M$29,2,FALSE)+IF(Q27="",0,VLOOKUP(Q27,Tables!$B$33:$C$40,2,FALSE)),IF(R27="2-",ROUNDUP(0.75*(VLOOKUP(K27,Tables!$E$3:$F$18,2,FALSE)+VLOOKUP(L27,Tables!$O$3:$P$10,2,FALSE)+VLOOKUP(M27,Tables!$R$3:$S$9,2,FALSE)+IF(N27="",0,VLOOKUP(N27,Tables!$B$3:$C$5,2,FALSE))+IF(P27="",0,VLOOKUP(P27,Tables!$L$3:$M$29,2,FALSE))+IF(Q27="",0,VLOOKUP(Q27,Tables!$B$33:$C$40,2,FALSE))),0),VLOOKUP(K27,Tables!$E$3:$F$18,2,FALSE)+VLOOKUP(L27,Tables!$O$3:$P$10,2,FALSE)+VLOOKUP(M27,Tables!$R$3:$S$9,2,FALSE)+IF(N27="",0,VLOOKUP(N27,Tables!$B$3:$C$5,2,FALSE))+IF(P27="",0,VLOOKUP(P27,Tables!$L$3:$M$29,2,FALSE))+IF(Q27="",0,VLOOKUP(Q27,Tables!$B$33:$C$40,2,FALSE))))),"")</f>
        <v>10</v>
      </c>
      <c r="T27" s="118" t="str">
        <f t="shared" si="0"/>
        <v/>
      </c>
      <c r="U27" s="85"/>
    </row>
    <row r="28" spans="2:21" ht="15.6" hidden="1">
      <c r="B28" s="85"/>
      <c r="C28" s="65"/>
      <c r="D28" s="59"/>
      <c r="E28" s="60"/>
      <c r="F28" s="66"/>
      <c r="G28" s="51">
        <v>0</v>
      </c>
      <c r="H28" s="52">
        <v>2</v>
      </c>
      <c r="I28" s="144" t="s">
        <v>277</v>
      </c>
      <c r="J28" s="145" t="s">
        <v>277</v>
      </c>
      <c r="K28" s="27" t="s">
        <v>38</v>
      </c>
      <c r="L28" s="71">
        <v>5</v>
      </c>
      <c r="M28" s="71">
        <v>2</v>
      </c>
      <c r="N28" s="27" t="s">
        <v>12</v>
      </c>
      <c r="O28" s="27">
        <v>2</v>
      </c>
      <c r="P28" s="28" t="s">
        <v>17</v>
      </c>
      <c r="Q28" s="29"/>
      <c r="R28" s="29"/>
      <c r="S28" s="117">
        <f>IFERROR(IF(K28="FOR",5,IF(K28="ART",VLOOKUP(P28,Tables!$L$3:$M$29,2,FALSE)+IF(Q28="",0,VLOOKUP(Q28,Tables!$B$33:$C$40,2,FALSE)),IF(R28="2-",ROUNDUP(0.75*(VLOOKUP(K28,Tables!$E$3:$F$18,2,FALSE)+VLOOKUP(L28,Tables!$O$3:$P$10,2,FALSE)+VLOOKUP(M28,Tables!$R$3:$S$9,2,FALSE)+IF(N28="",0,VLOOKUP(N28,Tables!$B$3:$C$5,2,FALSE))+IF(P28="",0,VLOOKUP(P28,Tables!$L$3:$M$29,2,FALSE))+IF(Q28="",0,VLOOKUP(Q28,Tables!$B$33:$C$40,2,FALSE))),0),VLOOKUP(K28,Tables!$E$3:$F$18,2,FALSE)+VLOOKUP(L28,Tables!$O$3:$P$10,2,FALSE)+VLOOKUP(M28,Tables!$R$3:$S$9,2,FALSE)+IF(N28="",0,VLOOKUP(N28,Tables!$B$3:$C$5,2,FALSE))+IF(P28="",0,VLOOKUP(P28,Tables!$L$3:$M$29,2,FALSE))+IF(Q28="",0,VLOOKUP(Q28,Tables!$B$33:$C$40,2,FALSE))))),"")</f>
        <v>23</v>
      </c>
      <c r="T28" s="118" t="str">
        <f t="shared" si="0"/>
        <v/>
      </c>
      <c r="U28" s="85"/>
    </row>
    <row r="29" spans="2:21" ht="15.6" hidden="1">
      <c r="B29" s="85"/>
      <c r="C29" s="65"/>
      <c r="D29" s="59"/>
      <c r="E29" s="60"/>
      <c r="F29" s="66"/>
      <c r="G29" s="51" t="s">
        <v>95</v>
      </c>
      <c r="H29" s="52"/>
      <c r="I29" s="144" t="s">
        <v>278</v>
      </c>
      <c r="J29" s="145" t="s">
        <v>278</v>
      </c>
      <c r="K29" s="27" t="s">
        <v>38</v>
      </c>
      <c r="L29" s="71">
        <v>5</v>
      </c>
      <c r="M29" s="71">
        <v>2</v>
      </c>
      <c r="N29" s="27" t="s">
        <v>12</v>
      </c>
      <c r="O29" s="27">
        <v>2</v>
      </c>
      <c r="P29" s="28"/>
      <c r="Q29" s="29"/>
      <c r="R29" s="29"/>
      <c r="S29" s="117">
        <f>IFERROR(IF(K29="FOR",5,IF(K29="ART",VLOOKUP(P29,Tables!$L$3:$M$29,2,FALSE)+IF(Q29="",0,VLOOKUP(Q29,Tables!$B$33:$C$40,2,FALSE)),IF(R29="2-",ROUNDUP(0.75*(VLOOKUP(K29,Tables!$E$3:$F$18,2,FALSE)+VLOOKUP(L29,Tables!$O$3:$P$10,2,FALSE)+VLOOKUP(M29,Tables!$R$3:$S$9,2,FALSE)+IF(N29="",0,VLOOKUP(N29,Tables!$B$3:$C$5,2,FALSE))+IF(P29="",0,VLOOKUP(P29,Tables!$L$3:$M$29,2,FALSE))+IF(Q29="",0,VLOOKUP(Q29,Tables!$B$33:$C$40,2,FALSE))),0),VLOOKUP(K29,Tables!$E$3:$F$18,2,FALSE)+VLOOKUP(L29,Tables!$O$3:$P$10,2,FALSE)+VLOOKUP(M29,Tables!$R$3:$S$9,2,FALSE)+IF(N29="",0,VLOOKUP(N29,Tables!$B$3:$C$5,2,FALSE))+IF(P29="",0,VLOOKUP(P29,Tables!$L$3:$M$29,2,FALSE))+IF(Q29="",0,VLOOKUP(Q29,Tables!$B$33:$C$40,2,FALSE))))),"")</f>
        <v>20</v>
      </c>
      <c r="T29" s="118" t="str">
        <f t="shared" si="0"/>
        <v/>
      </c>
      <c r="U29" s="85"/>
    </row>
    <row r="30" spans="2:21" ht="15.6">
      <c r="B30" s="85"/>
      <c r="C30" s="65"/>
      <c r="D30" s="59">
        <v>1</v>
      </c>
      <c r="E30" s="60">
        <v>1</v>
      </c>
      <c r="F30" s="66"/>
      <c r="G30" s="51">
        <v>0</v>
      </c>
      <c r="H30" s="52">
        <v>4</v>
      </c>
      <c r="I30" s="144" t="s">
        <v>279</v>
      </c>
      <c r="J30" s="145" t="s">
        <v>279</v>
      </c>
      <c r="K30" s="27" t="s">
        <v>91</v>
      </c>
      <c r="L30" s="71">
        <v>5</v>
      </c>
      <c r="M30" s="71">
        <v>3</v>
      </c>
      <c r="N30" s="27" t="s">
        <v>14</v>
      </c>
      <c r="O30" s="27">
        <v>2</v>
      </c>
      <c r="P30" s="28"/>
      <c r="Q30" s="29"/>
      <c r="R30" s="29"/>
      <c r="S30" s="117">
        <f>IFERROR(IF(K30="FOR",5,IF(K30="ART",VLOOKUP(P30,Tables!$L$3:$M$29,2,FALSE)+IF(Q30="",0,VLOOKUP(Q30,Tables!$B$33:$C$40,2,FALSE)),IF(R30="2-",ROUNDUP(0.75*(VLOOKUP(K30,Tables!$E$3:$F$18,2,FALSE)+VLOOKUP(L30,Tables!$O$3:$P$10,2,FALSE)+VLOOKUP(M30,Tables!$R$3:$S$9,2,FALSE)+IF(N30="",0,VLOOKUP(N30,Tables!$B$3:$C$5,2,FALSE))+IF(P30="",0,VLOOKUP(P30,Tables!$L$3:$M$29,2,FALSE))+IF(Q30="",0,VLOOKUP(Q30,Tables!$B$33:$C$40,2,FALSE))),0),VLOOKUP(K30,Tables!$E$3:$F$18,2,FALSE)+VLOOKUP(L30,Tables!$O$3:$P$10,2,FALSE)+VLOOKUP(M30,Tables!$R$3:$S$9,2,FALSE)+IF(N30="",0,VLOOKUP(N30,Tables!$B$3:$C$5,2,FALSE))+IF(P30="",0,VLOOKUP(P30,Tables!$L$3:$M$29,2,FALSE))+IF(Q30="",0,VLOOKUP(Q30,Tables!$B$33:$C$40,2,FALSE))))),"")</f>
        <v>17</v>
      </c>
      <c r="T30" s="118" t="str">
        <f t="shared" si="0"/>
        <v>Y</v>
      </c>
      <c r="U30" s="85"/>
    </row>
    <row r="31" spans="2:21" ht="15.6">
      <c r="B31" s="85"/>
      <c r="C31" s="65"/>
      <c r="D31" s="59">
        <v>1</v>
      </c>
      <c r="E31" s="60">
        <v>1</v>
      </c>
      <c r="F31" s="66"/>
      <c r="G31" s="51">
        <v>0</v>
      </c>
      <c r="H31" s="52">
        <v>2</v>
      </c>
      <c r="I31" s="144" t="s">
        <v>280</v>
      </c>
      <c r="J31" s="145" t="s">
        <v>280</v>
      </c>
      <c r="K31" s="27" t="s">
        <v>48</v>
      </c>
      <c r="L31" s="71">
        <v>3</v>
      </c>
      <c r="M31" s="71">
        <v>0</v>
      </c>
      <c r="N31" s="27" t="s">
        <v>12</v>
      </c>
      <c r="O31" s="27">
        <v>1</v>
      </c>
      <c r="P31" s="28" t="s">
        <v>44</v>
      </c>
      <c r="Q31" s="29"/>
      <c r="R31" s="29"/>
      <c r="S31" s="117">
        <f>IFERROR(IF(K31="FOR",5,IF(K31="ART",VLOOKUP(P31,Tables!$L$3:$M$29,2,FALSE)+IF(Q31="",0,VLOOKUP(Q31,Tables!$B$33:$C$40,2,FALSE)),IF(R31="2-",ROUNDUP(0.75*(VLOOKUP(K31,Tables!$E$3:$F$18,2,FALSE)+VLOOKUP(L31,Tables!$O$3:$P$10,2,FALSE)+VLOOKUP(M31,Tables!$R$3:$S$9,2,FALSE)+IF(N31="",0,VLOOKUP(N31,Tables!$B$3:$C$5,2,FALSE))+IF(P31="",0,VLOOKUP(P31,Tables!$L$3:$M$29,2,FALSE))+IF(Q31="",0,VLOOKUP(Q31,Tables!$B$33:$C$40,2,FALSE))),0),VLOOKUP(K31,Tables!$E$3:$F$18,2,FALSE)+VLOOKUP(L31,Tables!$O$3:$P$10,2,FALSE)+VLOOKUP(M31,Tables!$R$3:$S$9,2,FALSE)+IF(N31="",0,VLOOKUP(N31,Tables!$B$3:$C$5,2,FALSE))+IF(P31="",0,VLOOKUP(P31,Tables!$L$3:$M$29,2,FALSE))+IF(Q31="",0,VLOOKUP(Q31,Tables!$B$33:$C$40,2,FALSE))))),"")</f>
        <v>12</v>
      </c>
      <c r="T31" s="118" t="str">
        <f t="shared" si="0"/>
        <v>Y</v>
      </c>
      <c r="U31" s="85"/>
    </row>
    <row r="32" spans="2:21" ht="15.6" hidden="1">
      <c r="B32" s="85"/>
      <c r="C32" s="65"/>
      <c r="D32" s="59"/>
      <c r="E32" s="60"/>
      <c r="F32" s="66"/>
      <c r="G32" s="51">
        <v>0</v>
      </c>
      <c r="H32" s="52">
        <v>4</v>
      </c>
      <c r="I32" s="144" t="s">
        <v>281</v>
      </c>
      <c r="J32" s="145" t="s">
        <v>281</v>
      </c>
      <c r="K32" s="27" t="s">
        <v>48</v>
      </c>
      <c r="L32" s="71">
        <v>2</v>
      </c>
      <c r="M32" s="71">
        <v>0</v>
      </c>
      <c r="N32" s="27" t="s">
        <v>12</v>
      </c>
      <c r="O32" s="27">
        <v>1</v>
      </c>
      <c r="P32" s="28" t="s">
        <v>44</v>
      </c>
      <c r="Q32" s="29"/>
      <c r="R32" s="29"/>
      <c r="S32" s="117">
        <f>IFERROR(IF(K32="FOR",5,IF(K32="ART",VLOOKUP(P32,Tables!$L$3:$M$29,2,FALSE)+IF(Q32="",0,VLOOKUP(Q32,Tables!$B$33:$C$40,2,FALSE)),IF(R32="2-",ROUNDUP(0.75*(VLOOKUP(K32,Tables!$E$3:$F$18,2,FALSE)+VLOOKUP(L32,Tables!$O$3:$P$10,2,FALSE)+VLOOKUP(M32,Tables!$R$3:$S$9,2,FALSE)+IF(N32="",0,VLOOKUP(N32,Tables!$B$3:$C$5,2,FALSE))+IF(P32="",0,VLOOKUP(P32,Tables!$L$3:$M$29,2,FALSE))+IF(Q32="",0,VLOOKUP(Q32,Tables!$B$33:$C$40,2,FALSE))),0),VLOOKUP(K32,Tables!$E$3:$F$18,2,FALSE)+VLOOKUP(L32,Tables!$O$3:$P$10,2,FALSE)+VLOOKUP(M32,Tables!$R$3:$S$9,2,FALSE)+IF(N32="",0,VLOOKUP(N32,Tables!$B$3:$C$5,2,FALSE))+IF(P32="",0,VLOOKUP(P32,Tables!$L$3:$M$29,2,FALSE))+IF(Q32="",0,VLOOKUP(Q32,Tables!$B$33:$C$40,2,FALSE))))),"")</f>
        <v>10</v>
      </c>
      <c r="T32" s="118" t="str">
        <f t="shared" si="0"/>
        <v/>
      </c>
      <c r="U32" s="85"/>
    </row>
    <row r="33" spans="2:21" ht="15.6" hidden="1">
      <c r="B33" s="85"/>
      <c r="C33" s="65"/>
      <c r="D33" s="59"/>
      <c r="E33" s="60"/>
      <c r="F33" s="66"/>
      <c r="G33" s="51">
        <v>0</v>
      </c>
      <c r="H33" s="52">
        <v>2</v>
      </c>
      <c r="I33" s="144" t="s">
        <v>282</v>
      </c>
      <c r="J33" s="145" t="s">
        <v>282</v>
      </c>
      <c r="K33" s="27" t="s">
        <v>48</v>
      </c>
      <c r="L33" s="71">
        <v>2</v>
      </c>
      <c r="M33" s="71">
        <v>0</v>
      </c>
      <c r="N33" s="27" t="s">
        <v>12</v>
      </c>
      <c r="O33" s="27">
        <v>1</v>
      </c>
      <c r="P33" s="28" t="s">
        <v>85</v>
      </c>
      <c r="Q33" s="29"/>
      <c r="R33" s="29"/>
      <c r="S33" s="117">
        <f>IFERROR(IF(K33="FOR",5,IF(K33="ART",VLOOKUP(P33,Tables!$L$3:$M$29,2,FALSE)+IF(Q33="",0,VLOOKUP(Q33,Tables!$B$33:$C$40,2,FALSE)),IF(R33="2-",ROUNDUP(0.75*(VLOOKUP(K33,Tables!$E$3:$F$18,2,FALSE)+VLOOKUP(L33,Tables!$O$3:$P$10,2,FALSE)+VLOOKUP(M33,Tables!$R$3:$S$9,2,FALSE)+IF(N33="",0,VLOOKUP(N33,Tables!$B$3:$C$5,2,FALSE))+IF(P33="",0,VLOOKUP(P33,Tables!$L$3:$M$29,2,FALSE))+IF(Q33="",0,VLOOKUP(Q33,Tables!$B$33:$C$40,2,FALSE))),0),VLOOKUP(K33,Tables!$E$3:$F$18,2,FALSE)+VLOOKUP(L33,Tables!$O$3:$P$10,2,FALSE)+VLOOKUP(M33,Tables!$R$3:$S$9,2,FALSE)+IF(N33="",0,VLOOKUP(N33,Tables!$B$3:$C$5,2,FALSE))+IF(P33="",0,VLOOKUP(P33,Tables!$L$3:$M$29,2,FALSE))+IF(Q33="",0,VLOOKUP(Q33,Tables!$B$33:$C$40,2,FALSE))))),"")</f>
        <v>11</v>
      </c>
      <c r="T33" s="118" t="str">
        <f t="shared" si="0"/>
        <v/>
      </c>
      <c r="U33" s="85"/>
    </row>
    <row r="34" spans="2:21" ht="16.2" thickBot="1">
      <c r="B34" s="85"/>
      <c r="C34" s="65"/>
      <c r="D34" s="59">
        <v>1</v>
      </c>
      <c r="E34" s="60"/>
      <c r="F34" s="66"/>
      <c r="G34" s="51">
        <v>0</v>
      </c>
      <c r="H34" s="52">
        <v>2</v>
      </c>
      <c r="I34" s="144" t="s">
        <v>283</v>
      </c>
      <c r="J34" s="145" t="s">
        <v>283</v>
      </c>
      <c r="K34" s="27" t="s">
        <v>48</v>
      </c>
      <c r="L34" s="71">
        <v>3</v>
      </c>
      <c r="M34" s="71">
        <v>0</v>
      </c>
      <c r="N34" s="27" t="s">
        <v>12</v>
      </c>
      <c r="O34" s="27">
        <v>1</v>
      </c>
      <c r="P34" s="28" t="s">
        <v>53</v>
      </c>
      <c r="Q34" s="29"/>
      <c r="R34" s="29"/>
      <c r="S34" s="117">
        <f>IFERROR(IF(K34="FOR",5,IF(K34="ART",VLOOKUP(P34,Tables!$L$3:$M$29,2,FALSE)+IF(Q34="",0,VLOOKUP(Q34,Tables!$B$33:$C$40,2,FALSE)),IF(R34="2-",ROUNDUP(0.75*(VLOOKUP(K34,Tables!$E$3:$F$18,2,FALSE)+VLOOKUP(L34,Tables!$O$3:$P$10,2,FALSE)+VLOOKUP(M34,Tables!$R$3:$S$9,2,FALSE)+IF(N34="",0,VLOOKUP(N34,Tables!$B$3:$C$5,2,FALSE))+IF(P34="",0,VLOOKUP(P34,Tables!$L$3:$M$29,2,FALSE))+IF(Q34="",0,VLOOKUP(Q34,Tables!$B$33:$C$40,2,FALSE))),0),VLOOKUP(K34,Tables!$E$3:$F$18,2,FALSE)+VLOOKUP(L34,Tables!$O$3:$P$10,2,FALSE)+VLOOKUP(M34,Tables!$R$3:$S$9,2,FALSE)+IF(N34="",0,VLOOKUP(N34,Tables!$B$3:$C$5,2,FALSE))+IF(P34="",0,VLOOKUP(P34,Tables!$L$3:$M$29,2,FALSE))+IF(Q34="",0,VLOOKUP(Q34,Tables!$B$33:$C$40,2,FALSE))))),"")</f>
        <v>14</v>
      </c>
      <c r="T34" s="118" t="str">
        <f t="shared" si="0"/>
        <v>Y</v>
      </c>
      <c r="U34" s="85"/>
    </row>
    <row r="35" spans="2:21" ht="15.6" hidden="1">
      <c r="B35" s="85"/>
      <c r="C35" s="65"/>
      <c r="D35" s="59"/>
      <c r="E35" s="60"/>
      <c r="F35" s="66"/>
      <c r="G35" s="51"/>
      <c r="H35" s="52"/>
      <c r="I35" s="144"/>
      <c r="J35" s="145"/>
      <c r="K35" s="27"/>
      <c r="L35" s="71"/>
      <c r="M35" s="71"/>
      <c r="N35" s="27"/>
      <c r="O35" s="27"/>
      <c r="P35" s="28"/>
      <c r="Q35" s="29"/>
      <c r="R35" s="29"/>
      <c r="S35" s="117" t="str">
        <f>IFERROR(IF(K35="FOR",5,IF(K35="ART",VLOOKUP(P35,Tables!$L$3:$M$29,2,FALSE)+IF(Q35="",0,VLOOKUP(Q35,Tables!$B$33:$C$40,2,FALSE)),IF(R35="2-",ROUNDUP(0.75*(VLOOKUP(K35,Tables!$E$3:$F$18,2,FALSE)+VLOOKUP(L35,Tables!$O$3:$P$10,2,FALSE)+VLOOKUP(M35,Tables!$R$3:$S$9,2,FALSE)+IF(N35="",0,VLOOKUP(N35,Tables!$B$3:$C$5,2,FALSE))+IF(P35="",0,VLOOKUP(P35,Tables!$L$3:$M$29,2,FALSE))+IF(Q35="",0,VLOOKUP(Q35,Tables!$B$33:$C$40,2,FALSE))),0),VLOOKUP(K35,Tables!$E$3:$F$18,2,FALSE)+VLOOKUP(L35,Tables!$O$3:$P$10,2,FALSE)+VLOOKUP(M35,Tables!$R$3:$S$9,2,FALSE)+IF(N35="",0,VLOOKUP(N35,Tables!$B$3:$C$5,2,FALSE))+IF(P35="",0,VLOOKUP(P35,Tables!$L$3:$M$29,2,FALSE))+IF(Q35="",0,VLOOKUP(Q35,Tables!$B$33:$C$40,2,FALSE))))),"")</f>
        <v/>
      </c>
      <c r="T35" s="118" t="str">
        <f t="shared" si="0"/>
        <v/>
      </c>
      <c r="U35" s="85"/>
    </row>
    <row r="36" spans="2:21" ht="15.6" hidden="1">
      <c r="B36" s="85"/>
      <c r="C36" s="65"/>
      <c r="D36" s="59"/>
      <c r="E36" s="60"/>
      <c r="F36" s="66"/>
      <c r="G36" s="51"/>
      <c r="H36" s="52"/>
      <c r="I36" s="144"/>
      <c r="J36" s="145"/>
      <c r="K36" s="27"/>
      <c r="L36" s="71"/>
      <c r="M36" s="71"/>
      <c r="N36" s="27"/>
      <c r="O36" s="27"/>
      <c r="P36" s="28"/>
      <c r="Q36" s="29"/>
      <c r="R36" s="29"/>
      <c r="S36" s="117" t="str">
        <f>IFERROR(IF(K36="FOR",5,IF(K36="ART",VLOOKUP(P36,Tables!$L$3:$M$29,2,FALSE)+IF(Q36="",0,VLOOKUP(Q36,Tables!$B$33:$C$40,2,FALSE)),IF(R36="2-",ROUNDUP(0.75*(VLOOKUP(K36,Tables!$E$3:$F$18,2,FALSE)+VLOOKUP(L36,Tables!$O$3:$P$10,2,FALSE)+VLOOKUP(M36,Tables!$R$3:$S$9,2,FALSE)+IF(N36="",0,VLOOKUP(N36,Tables!$B$3:$C$5,2,FALSE))+IF(P36="",0,VLOOKUP(P36,Tables!$L$3:$M$29,2,FALSE))+IF(Q36="",0,VLOOKUP(Q36,Tables!$B$33:$C$40,2,FALSE))),0),VLOOKUP(K36,Tables!$E$3:$F$18,2,FALSE)+VLOOKUP(L36,Tables!$O$3:$P$10,2,FALSE)+VLOOKUP(M36,Tables!$R$3:$S$9,2,FALSE)+IF(N36="",0,VLOOKUP(N36,Tables!$B$3:$C$5,2,FALSE))+IF(P36="",0,VLOOKUP(P36,Tables!$L$3:$M$29,2,FALSE))+IF(Q36="",0,VLOOKUP(Q36,Tables!$B$33:$C$40,2,FALSE))))),"")</f>
        <v/>
      </c>
      <c r="T36" s="118" t="str">
        <f t="shared" si="0"/>
        <v/>
      </c>
      <c r="U36" s="85"/>
    </row>
    <row r="37" spans="2:21" ht="15.6" hidden="1">
      <c r="B37" s="85"/>
      <c r="C37" s="65"/>
      <c r="D37" s="59"/>
      <c r="E37" s="60"/>
      <c r="F37" s="66"/>
      <c r="G37" s="51"/>
      <c r="H37" s="52"/>
      <c r="I37" s="144"/>
      <c r="J37" s="145"/>
      <c r="K37" s="27"/>
      <c r="L37" s="71"/>
      <c r="M37" s="71"/>
      <c r="N37" s="27"/>
      <c r="O37" s="27"/>
      <c r="P37" s="28"/>
      <c r="Q37" s="29"/>
      <c r="R37" s="29"/>
      <c r="S37" s="117" t="str">
        <f>IFERROR(IF(K37="FOR",5,IF(K37="ART",VLOOKUP(P37,Tables!$L$3:$M$29,2,FALSE)+IF(Q37="",0,VLOOKUP(Q37,Tables!$B$33:$C$40,2,FALSE)),IF(R37="2-",ROUNDUP(0.75*(VLOOKUP(K37,Tables!$E$3:$F$18,2,FALSE)+VLOOKUP(L37,Tables!$O$3:$P$10,2,FALSE)+VLOOKUP(M37,Tables!$R$3:$S$9,2,FALSE)+IF(N37="",0,VLOOKUP(N37,Tables!$B$3:$C$5,2,FALSE))+IF(P37="",0,VLOOKUP(P37,Tables!$L$3:$M$29,2,FALSE))+IF(Q37="",0,VLOOKUP(Q37,Tables!$B$33:$C$40,2,FALSE))),0),VLOOKUP(K37,Tables!$E$3:$F$18,2,FALSE)+VLOOKUP(L37,Tables!$O$3:$P$10,2,FALSE)+VLOOKUP(M37,Tables!$R$3:$S$9,2,FALSE)+IF(N37="",0,VLOOKUP(N37,Tables!$B$3:$C$5,2,FALSE))+IF(P37="",0,VLOOKUP(P37,Tables!$L$3:$M$29,2,FALSE))+IF(Q37="",0,VLOOKUP(Q37,Tables!$B$33:$C$40,2,FALSE))))),"")</f>
        <v/>
      </c>
      <c r="T37" s="118" t="str">
        <f t="shared" si="0"/>
        <v/>
      </c>
      <c r="U37" s="85"/>
    </row>
    <row r="38" spans="2:21" ht="15.6" hidden="1">
      <c r="B38" s="85"/>
      <c r="C38" s="65"/>
      <c r="D38" s="59"/>
      <c r="E38" s="60"/>
      <c r="F38" s="66"/>
      <c r="G38" s="51"/>
      <c r="H38" s="52"/>
      <c r="I38" s="144"/>
      <c r="J38" s="145"/>
      <c r="K38" s="27"/>
      <c r="L38" s="71"/>
      <c r="M38" s="71"/>
      <c r="N38" s="27"/>
      <c r="O38" s="27"/>
      <c r="P38" s="28"/>
      <c r="Q38" s="29"/>
      <c r="R38" s="29"/>
      <c r="S38" s="117" t="str">
        <f>IFERROR(IF(K38="FOR",5,IF(K38="ART",VLOOKUP(P38,Tables!$L$3:$M$29,2,FALSE)+IF(Q38="",0,VLOOKUP(Q38,Tables!$B$33:$C$40,2,FALSE)),IF(R38="2-",ROUNDUP(0.75*(VLOOKUP(K38,Tables!$E$3:$F$18,2,FALSE)+VLOOKUP(L38,Tables!$O$3:$P$10,2,FALSE)+VLOOKUP(M38,Tables!$R$3:$S$9,2,FALSE)+IF(N38="",0,VLOOKUP(N38,Tables!$B$3:$C$5,2,FALSE))+IF(P38="",0,VLOOKUP(P38,Tables!$L$3:$M$29,2,FALSE))+IF(Q38="",0,VLOOKUP(Q38,Tables!$B$33:$C$40,2,FALSE))),0),VLOOKUP(K38,Tables!$E$3:$F$18,2,FALSE)+VLOOKUP(L38,Tables!$O$3:$P$10,2,FALSE)+VLOOKUP(M38,Tables!$R$3:$S$9,2,FALSE)+IF(N38="",0,VLOOKUP(N38,Tables!$B$3:$C$5,2,FALSE))+IF(P38="",0,VLOOKUP(P38,Tables!$L$3:$M$29,2,FALSE))+IF(Q38="",0,VLOOKUP(Q38,Tables!$B$33:$C$40,2,FALSE))))),"")</f>
        <v/>
      </c>
      <c r="T38" s="118" t="str">
        <f t="shared" si="0"/>
        <v/>
      </c>
      <c r="U38" s="85"/>
    </row>
    <row r="39" spans="2:21" ht="15.6" hidden="1">
      <c r="B39" s="85"/>
      <c r="C39" s="65"/>
      <c r="D39" s="59"/>
      <c r="E39" s="60"/>
      <c r="F39" s="66"/>
      <c r="G39" s="51"/>
      <c r="H39" s="52"/>
      <c r="I39" s="144"/>
      <c r="J39" s="145"/>
      <c r="K39" s="27"/>
      <c r="L39" s="71"/>
      <c r="M39" s="71"/>
      <c r="N39" s="27"/>
      <c r="O39" s="27"/>
      <c r="P39" s="28"/>
      <c r="Q39" s="29"/>
      <c r="R39" s="29"/>
      <c r="S39" s="117" t="str">
        <f>IFERROR(IF(K39="FOR",5,IF(K39="ART",VLOOKUP(P39,Tables!$L$3:$M$29,2,FALSE)+IF(Q39="",0,VLOOKUP(Q39,Tables!$B$33:$C$40,2,FALSE)),IF(R39="2-",ROUNDUP(0.75*(VLOOKUP(K39,Tables!$E$3:$F$18,2,FALSE)+VLOOKUP(L39,Tables!$O$3:$P$10,2,FALSE)+VLOOKUP(M39,Tables!$R$3:$S$9,2,FALSE)+IF(N39="",0,VLOOKUP(N39,Tables!$B$3:$C$5,2,FALSE))+IF(P39="",0,VLOOKUP(P39,Tables!$L$3:$M$29,2,FALSE))+IF(Q39="",0,VLOOKUP(Q39,Tables!$B$33:$C$40,2,FALSE))),0),VLOOKUP(K39,Tables!$E$3:$F$18,2,FALSE)+VLOOKUP(L39,Tables!$O$3:$P$10,2,FALSE)+VLOOKUP(M39,Tables!$R$3:$S$9,2,FALSE)+IF(N39="",0,VLOOKUP(N39,Tables!$B$3:$C$5,2,FALSE))+IF(P39="",0,VLOOKUP(P39,Tables!$L$3:$M$29,2,FALSE))+IF(Q39="",0,VLOOKUP(Q39,Tables!$B$33:$C$40,2,FALSE))))),"")</f>
        <v/>
      </c>
      <c r="T39" s="118" t="str">
        <f t="shared" si="0"/>
        <v/>
      </c>
      <c r="U39" s="85"/>
    </row>
    <row r="40" spans="2:21" ht="16.2" hidden="1" thickBot="1">
      <c r="B40" s="85"/>
      <c r="C40" s="67"/>
      <c r="D40" s="68"/>
      <c r="E40" s="69"/>
      <c r="F40" s="70"/>
      <c r="G40" s="53"/>
      <c r="H40" s="54"/>
      <c r="I40" s="174"/>
      <c r="J40" s="175"/>
      <c r="K40" s="30"/>
      <c r="L40" s="30"/>
      <c r="M40" s="30"/>
      <c r="N40" s="30"/>
      <c r="O40" s="82"/>
      <c r="P40" s="31"/>
      <c r="Q40" s="32"/>
      <c r="R40" s="32"/>
      <c r="S40" s="117" t="str">
        <f>IFERROR(IF(K40="FOR",5,IF(K40="ART",VLOOKUP(P40,Tables!$L$3:$M$29,2,FALSE)+IF(Q40="",0,VLOOKUP(Q40,Tables!$B$33:$C$40,2,FALSE)),IF(R40="2-",ROUNDUP(0.75*(VLOOKUP(K40,Tables!$E$3:$F$18,2,FALSE)+VLOOKUP(L40,Tables!$O$3:$P$10,2,FALSE)+VLOOKUP(M40,Tables!$R$3:$S$9,2,FALSE)+IF(N40="",0,VLOOKUP(N40,Tables!$B$3:$C$5,2,FALSE))+IF(P40="",0,VLOOKUP(P40,Tables!$L$3:$M$29,2,FALSE))+IF(Q40="",0,VLOOKUP(Q40,Tables!$B$33:$C$40,2,FALSE))),0),VLOOKUP(K40,Tables!$E$3:$F$18,2,FALSE)+VLOOKUP(L40,Tables!$O$3:$P$10,2,FALSE)+VLOOKUP(M40,Tables!$R$3:$S$9,2,FALSE)+IF(N40="",0,VLOOKUP(N40,Tables!$B$3:$C$5,2,FALSE))+IF(P40="",0,VLOOKUP(P40,Tables!$L$3:$M$29,2,FALSE))+IF(Q40="",0,VLOOKUP(Q40,Tables!$B$33:$C$40,2,FALSE))))),"")</f>
        <v/>
      </c>
      <c r="T40" s="118" t="str">
        <f t="shared" si="0"/>
        <v/>
      </c>
      <c r="U40" s="85"/>
    </row>
    <row r="41" spans="2:21" ht="15.6">
      <c r="B41" s="85"/>
      <c r="C41" s="57"/>
      <c r="D41" s="58"/>
      <c r="E41" s="58"/>
      <c r="F41" s="58"/>
      <c r="G41" s="37"/>
      <c r="H41" s="37"/>
      <c r="I41" s="39"/>
      <c r="J41" s="39"/>
      <c r="K41" s="37"/>
      <c r="L41" s="37"/>
      <c r="M41" s="38"/>
      <c r="N41" s="39"/>
      <c r="O41" s="39"/>
      <c r="P41" s="39"/>
      <c r="Q41" s="39"/>
      <c r="R41" s="39"/>
      <c r="S41" s="40"/>
      <c r="T41" s="119"/>
      <c r="U41" s="85"/>
    </row>
    <row r="42" spans="2:21" ht="18">
      <c r="B42" s="85"/>
      <c r="C42" s="41"/>
      <c r="D42" s="131"/>
      <c r="E42" s="162" t="s">
        <v>63</v>
      </c>
      <c r="F42" s="163"/>
      <c r="G42" s="161" t="s">
        <v>64</v>
      </c>
      <c r="H42" s="163"/>
      <c r="I42" s="33"/>
      <c r="J42" s="90" t="s">
        <v>139</v>
      </c>
      <c r="K42" s="120" t="s">
        <v>191</v>
      </c>
      <c r="L42" s="33"/>
      <c r="M42" s="183" t="s">
        <v>66</v>
      </c>
      <c r="N42" s="184"/>
      <c r="O42" s="185"/>
      <c r="Q42" s="176" t="s">
        <v>138</v>
      </c>
      <c r="R42" s="177"/>
      <c r="S42" s="42"/>
      <c r="T42" s="119"/>
      <c r="U42" s="85"/>
    </row>
    <row r="43" spans="2:21" ht="15" customHeight="1">
      <c r="B43" s="85"/>
      <c r="C43" s="41"/>
      <c r="D43" s="132" t="s">
        <v>141</v>
      </c>
      <c r="E43" s="191" t="s">
        <v>187</v>
      </c>
      <c r="F43" s="192"/>
      <c r="G43" s="189"/>
      <c r="H43" s="190"/>
      <c r="I43" s="33"/>
      <c r="J43" s="90" t="s">
        <v>179</v>
      </c>
      <c r="L43" s="33"/>
      <c r="M43" s="180" t="s">
        <v>59</v>
      </c>
      <c r="N43" s="181"/>
      <c r="O43" s="182"/>
      <c r="Q43" s="178" t="s">
        <v>134</v>
      </c>
      <c r="R43" s="179"/>
      <c r="S43" s="93"/>
      <c r="T43" s="119"/>
      <c r="U43" s="85"/>
    </row>
    <row r="44" spans="2:21" ht="13.8">
      <c r="B44" s="85"/>
      <c r="C44" s="43"/>
      <c r="D44" s="132" t="s">
        <v>142</v>
      </c>
      <c r="E44" s="191" t="s">
        <v>183</v>
      </c>
      <c r="F44" s="192"/>
      <c r="G44" s="189" t="s">
        <v>130</v>
      </c>
      <c r="H44" s="190"/>
      <c r="I44" s="33"/>
      <c r="J44" s="89"/>
      <c r="L44" s="33"/>
      <c r="M44" s="46"/>
      <c r="S44" s="93"/>
      <c r="T44" s="119"/>
      <c r="U44" s="85"/>
    </row>
    <row r="45" spans="2:21" ht="15.6">
      <c r="B45" s="85"/>
      <c r="C45" s="44"/>
      <c r="D45" s="132" t="s">
        <v>143</v>
      </c>
      <c r="E45" s="191" t="s">
        <v>187</v>
      </c>
      <c r="F45" s="192"/>
      <c r="G45" s="189"/>
      <c r="H45" s="190"/>
      <c r="I45" s="46"/>
      <c r="J45" s="161" t="s">
        <v>20</v>
      </c>
      <c r="K45" s="162"/>
      <c r="L45" s="162"/>
      <c r="M45" s="163"/>
      <c r="O45" s="161" t="s">
        <v>21</v>
      </c>
      <c r="P45" s="162"/>
      <c r="Q45" s="162"/>
      <c r="R45" s="163"/>
      <c r="S45" s="93"/>
      <c r="T45" s="119"/>
      <c r="U45" s="85"/>
    </row>
    <row r="46" spans="2:21" ht="13.8">
      <c r="B46" s="85"/>
      <c r="C46" s="45"/>
      <c r="D46" s="132" t="s">
        <v>144</v>
      </c>
      <c r="E46" s="191"/>
      <c r="F46" s="192"/>
      <c r="G46" s="189"/>
      <c r="H46" s="190"/>
      <c r="J46" s="140" t="s">
        <v>290</v>
      </c>
      <c r="K46" s="95" t="s">
        <v>137</v>
      </c>
      <c r="L46" s="125">
        <v>0.33</v>
      </c>
      <c r="M46" s="125">
        <v>0.5</v>
      </c>
      <c r="O46" s="140" t="s">
        <v>290</v>
      </c>
      <c r="P46" s="34" t="s">
        <v>137</v>
      </c>
      <c r="Q46" s="125">
        <v>0.33</v>
      </c>
      <c r="R46" s="125">
        <v>0.5</v>
      </c>
      <c r="S46" s="93"/>
      <c r="T46" s="119"/>
      <c r="U46" s="85"/>
    </row>
    <row r="47" spans="2:21" ht="15.6">
      <c r="B47" s="85"/>
      <c r="C47" s="44"/>
      <c r="J47" s="141">
        <f>IFERROR(ROUNDUP(K47/SUM(K47,P47,K52,P52),2),0)</f>
        <v>0.29000000000000004</v>
      </c>
      <c r="K47" s="35">
        <f>IFERROR($C$6*$O$6,0)+IFERROR($C$7*$O$7,0)+IFERROR($C$8*$O$8,0)+IFERROR($C$9*$O$9,0)+IFERROR($C$10*$O$10,0)+IFERROR($C$11*$O$11,0)+IFERROR($C$12*$O$12,0)+IFERROR($C$13*$O$13,0)+IFERROR($C$14*$O$14,0)+IFERROR($C$15*$O$15,0)+IFERROR($C$16*$O$16,0)+IFERROR($C$17*$O$17,0)+IFERROR($C$18*$O$18,0)+IFERROR($C$19*$O$19,0)+IFERROR($C$20*$O$20,0)+IFERROR($C$21*$O$21,0)+IFERROR($C$22*$O$22,0)+IFERROR($C$23*$O$23,0)+IFERROR($C$24*$O$24,0)+IFERROR($C$25*$O$25,0)+IFERROR($C$26*$O$26,0)+IFERROR($C$27*$O$27,0)+IFERROR($C$28*$O$28,0)+IFERROR($C$29*$O$29,0)+IFERROR($C$30*$O$30,0)+IFERROR($C$31*$O$31,0)+IFERROR($C$32*$O$32,0)+IFERROR($C$33*$O$33,0)+IFERROR($C$34*$O$34,0)+IFERROR($C$35*$O$35,0)+IFERROR($C$36*$O$36,0)+IFERROR($C$37*$O$37,0)+IFERROR($C$38*$O$38,0)+IFERROR($C$39*$O$39,0)+IFERROR($C$40*$O$40,0)+IFERROR(VLOOKUP(E43,Tables!O33:P43,2,FALSE),0)</f>
        <v>10</v>
      </c>
      <c r="L47" s="36">
        <f>ROUNDUP(K47/3,0)</f>
        <v>4</v>
      </c>
      <c r="M47" s="96">
        <f>ROUNDUP(K47/2,0)</f>
        <v>5</v>
      </c>
      <c r="O47" s="141">
        <f>IFERROR(ROUNDUP(P47/SUM(K47,P47,K52,P52),2),0)</f>
        <v>0.4</v>
      </c>
      <c r="P47" s="35">
        <f>IFERROR($D$6*$O$6,0)+IFERROR($D$7*$O$7,0)+IFERROR($D$8*$O$8,0)+IFERROR($D$9*$O$9,0)+IFERROR($D$10*$O$10,0)+IFERROR($D$11*$O$11,0)+IFERROR($D$12*$O$12,0)+IFERROR($D$13*$O$13,0)+IFERROR($D$14*$O$14,0)+IFERROR($D$15*$O$15,0)+IFERROR($D$16*$O$16,0)+IFERROR($D$17*$O$17,0)+IFERROR($D$18*$O$18,0)+IFERROR($D$19*$O$19,0)+IFERROR($D$20*$O$20,0)+IFERROR($D$21*$O$21,0)+IFERROR($D$22*$O$22,0)+IFERROR($D$23*$O$23,0)+IFERROR($D$24*$O$24,0)+IFERROR($D$25*$O$25,0)+IFERROR($D$26*$O$26,0)+IFERROR($D$27*$O$27,0)+IFERROR($D$28*$O$28,0)+IFERROR($D$29*$O$29,0)+IFERROR($D$30*$O$30,0)+IFERROR($D$31*$O$31,0)+IFERROR($D$32*$O$32,0)+IFERROR($D$33*$O$33,0)+IFERROR($D$34*$O$34,0)+IFERROR($D$35*$O$35,0)+IFERROR($D$36*$O$36,0)+IFERROR($D$37*$O$37,0)+IFERROR($D$38*$O$38,0)+IFERROR($D$39*$O$39,0)+IFERROR($D$40*$O$40,0)+IFERROR(VLOOKUP(E44,Tables!O33:P43,2,FALSE),0)</f>
        <v>14</v>
      </c>
      <c r="Q47" s="36">
        <f>ROUNDUP(P47/3,0)</f>
        <v>5</v>
      </c>
      <c r="R47" s="96">
        <f>ROUNDUP(P47/2,0)</f>
        <v>7</v>
      </c>
      <c r="S47" s="42"/>
      <c r="T47" s="119"/>
      <c r="U47" s="85"/>
    </row>
    <row r="48" spans="2:21" ht="18">
      <c r="B48" s="85"/>
      <c r="C48" s="41"/>
      <c r="D48" s="212" t="s">
        <v>214</v>
      </c>
      <c r="E48" s="213"/>
      <c r="F48" s="213"/>
      <c r="G48" s="213"/>
      <c r="H48" s="214"/>
      <c r="J48" s="101" t="s">
        <v>67</v>
      </c>
      <c r="K48" s="158">
        <f>IFERROR($C$6*$S$6,0)+IFERROR($C$7*$S$7,0)+IFERROR($C$8*$S$8,0)+IFERROR($C$9*$S$9,0)+IFERROR($C$10*$S$10,0)+IFERROR($C$11*$S$11,0)+IFERROR($C$12*$S$12,0)+IFERROR($C$13*$S$13,0)+IFERROR($C$14*$S$14,0)+IFERROR($C$15*$S$15,0)+IFERROR($C$16*$S$16,0)+IFERROR($C$17*$S$17,0)+IFERROR($C$18*$S$18,0)+IFERROR($C$19*$S$19,0)+IFERROR($C$20*$S$20,0)+IFERROR($C$21*$S$21,0)+IFERROR($C$22*$S$22,0)+IFERROR($C$23*$S$23,0)+IFERROR($C$24*$S$24,0)+IFERROR($C$25*$S$25,0)+IFERROR($C$26*$S$26,0)+IFERROR($C$27*$S$27,0)+IFERROR($C$28*$S$28,0)+IFERROR($C$29*$S$29,0)+IFERROR($C$30*$S$30,0)+IFERROR($C$31*$S$31,0)+IFERROR($C$32*$S$32,0)+IFERROR($C$33*$S$33,0)+IFERROR($C$34*$S$34,0)+IFERROR($C$35*$S$35,0)+IFERROR($C$36*$S$36,0)+IFERROR($C$37*$S$37,0)+IFERROR($C$38*$S$38,0)+IFERROR($C$39*$S$39,0)+IFERROR($C$40*$S$40,0) +IFERROR(VLOOKUP(E43,Tables!L33:M43,2,FALSE),0)+IFERROR(VLOOKUP(G43,Tables!R33:S37,2,FALSE),0)</f>
        <v>117</v>
      </c>
      <c r="L48" s="159"/>
      <c r="M48" s="160"/>
      <c r="O48" s="101" t="s">
        <v>67</v>
      </c>
      <c r="P48" s="158">
        <f>IFERROR($D$6*$S$6,0)+IFERROR($D$7*$S$7,0)+IFERROR($D$8*$S$8,0)+IFERROR($D$9*$S$9,0)+IFERROR($D$10*$S$10,0)+IFERROR($D$11*$S$11,0)+IFERROR($D$12*$S$12,0)+IFERROR($D$13*$S$13,0)+IFERROR($D$14*$S$14,0)+IFERROR($D$15*$S$15,0)+IFERROR($D$16*$S$16,0)+IFERROR($D$17*$S$17,0)+IFERROR($D$18*$S$18,0)+IFERROR($D$19*$S$19,0)+IFERROR($D$20*$S$20,0)+IFERROR($D$21*$S$21,0)+IFERROR($D$22*$S$22,0)+IFERROR($D$23*$S$23,0)+IFERROR($D$24*$S$24,0)+IFERROR($D$25*$S$25,0)+IFERROR($D$26*$S$26,0)+IFERROR($D$27*$S$27,0)+IFERROR($D$28*$S$28,0)+IFERROR($D$29*$S$29,0)+IFERROR($D$30*$S$30,0)+IFERROR($D$31*$S$31,0)+IFERROR($D$32*$S$32,0)+IFERROR($D$33*$S$33,0)+IFERROR($D$34*$S$34,0)+IFERROR($D$35*$S$35,0)+IFERROR($D$36*$S$36,0)+IFERROR($D$37*$S$37,0)+IFERROR($D$38*$S$38,0)+IFERROR($D$39*$S$39,0)+IFERROR($D$40*$S$40,0) +IFERROR(VLOOKUP(E44,Tables!L33:M43,2,FALSE),0)+IFERROR(VLOOKUP(G44,Tables!R33:S37,2,FALSE),0)</f>
        <v>152</v>
      </c>
      <c r="Q48" s="159"/>
      <c r="R48" s="160"/>
      <c r="S48" s="42"/>
      <c r="T48" s="119"/>
      <c r="U48" s="85"/>
    </row>
    <row r="49" spans="2:21" ht="13.8">
      <c r="B49" s="85"/>
      <c r="C49" s="41"/>
      <c r="D49" s="186" t="s">
        <v>196</v>
      </c>
      <c r="E49" s="187"/>
      <c r="F49" s="187"/>
      <c r="G49" s="187"/>
      <c r="H49" s="188"/>
      <c r="I49" s="33"/>
      <c r="S49" s="42"/>
      <c r="T49" s="119"/>
      <c r="U49" s="85"/>
    </row>
    <row r="50" spans="2:21" ht="15.6">
      <c r="B50" s="85"/>
      <c r="C50" s="41"/>
      <c r="D50" s="186"/>
      <c r="E50" s="187"/>
      <c r="F50" s="187"/>
      <c r="G50" s="187"/>
      <c r="H50" s="188"/>
      <c r="I50" s="33"/>
      <c r="J50" s="161" t="s">
        <v>22</v>
      </c>
      <c r="K50" s="162"/>
      <c r="L50" s="162"/>
      <c r="M50" s="163"/>
      <c r="O50" s="161" t="s">
        <v>23</v>
      </c>
      <c r="P50" s="162"/>
      <c r="Q50" s="162"/>
      <c r="R50" s="163"/>
      <c r="S50" s="42"/>
      <c r="T50" s="119"/>
      <c r="U50" s="85"/>
    </row>
    <row r="51" spans="2:21" ht="13.8">
      <c r="B51" s="85"/>
      <c r="C51" s="41"/>
      <c r="D51" s="186"/>
      <c r="E51" s="187"/>
      <c r="F51" s="187"/>
      <c r="G51" s="187"/>
      <c r="H51" s="188"/>
      <c r="I51" s="33"/>
      <c r="J51" s="140" t="s">
        <v>290</v>
      </c>
      <c r="K51" s="126" t="s">
        <v>137</v>
      </c>
      <c r="L51" s="125">
        <v>0.33</v>
      </c>
      <c r="M51" s="125">
        <v>0.5</v>
      </c>
      <c r="O51" s="140" t="s">
        <v>290</v>
      </c>
      <c r="P51" s="34" t="s">
        <v>137</v>
      </c>
      <c r="Q51" s="125">
        <v>0.33</v>
      </c>
      <c r="R51" s="125">
        <v>0.5</v>
      </c>
      <c r="S51" s="42"/>
      <c r="T51" s="119"/>
      <c r="U51" s="85"/>
    </row>
    <row r="52" spans="2:21" ht="15.6">
      <c r="B52" s="85"/>
      <c r="C52" s="41"/>
      <c r="D52" s="186"/>
      <c r="E52" s="187"/>
      <c r="F52" s="187"/>
      <c r="G52" s="187"/>
      <c r="H52" s="188"/>
      <c r="I52" s="33"/>
      <c r="J52" s="141">
        <f>IFERROR(ROUNDUP(K52/SUM(K47,P47,K52,P52),2),0)</f>
        <v>0.32</v>
      </c>
      <c r="K52" s="35">
        <f>IFERROR($E$6*$O$6,0)+IFERROR($E$7*$O$7,0)+IFERROR($E$8*$O$8,0)+IFERROR($E$9*$O$9,0)+IFERROR($E$10*$O$10,0)+IFERROR($E$11*$O$11,0)+IFERROR($E$12*$O$12,0)+IFERROR($E$13*$O$13,0)+IFERROR($E$14*$O$14,0)+IFERROR($E$15*$O$15,0)+IFERROR($E$16*$O$16,0)+IFERROR($E$17*$O$17,0)+IFERROR($E$18*$O$18,0)+IFERROR($E$19*$O$19,0)+IFERROR($E$20*$O$20,0)+IFERROR($E$21*$O$21,0)+IFERROR($E$22*$O$22,0)+IFERROR($E$23*$O$23,0)+IFERROR($E$24*$O$24,0)+IFERROR($E$25*$O$25,0)+IFERROR($E$26*$O$26,0)+IFERROR($E$27*$O$27,0)+IFERROR($E$28*$O$28,0)+IFERROR($E$29*$O$29,0)+IFERROR($E$30*$O$30,0)+IFERROR($E$31*$O$31,0)+IFERROR($E$32*$O$32,0)+IFERROR($E$33*$O$33,0)+IFERROR($E$34*$O$34,0)+IFERROR($E$35*$O$35,0)+IFERROR($E$36*$O$36,0)+IFERROR($E$37*$O$37,0)+IFERROR($E$38*$O$38,0)+IFERROR($E$39*$O$39,0)+IFERROR($E$40*$O$40,0)+IFERROR(VLOOKUP(E45,Tables!O33:P43,2,FALSE),0)</f>
        <v>11</v>
      </c>
      <c r="L52" s="36">
        <f>ROUNDUP(K52/3,0)</f>
        <v>4</v>
      </c>
      <c r="M52" s="96">
        <f>ROUNDUP(K52/2,0)</f>
        <v>6</v>
      </c>
      <c r="O52" s="141">
        <f>IFERROR(ROUNDUP(P52/SUM(K47,P47,K52,P52),2),0)</f>
        <v>0</v>
      </c>
      <c r="P52" s="35">
        <f>IFERROR($F$6*$O$6,0)+IFERROR($F$7*$O$7,0)+IFERROR($F$8*$O$8,0)+IFERROR($F$9*$O$9,0)+IFERROR($F$10*$O$10,0)+IFERROR($F$11*$O$11,0)+IFERROR($F$12*$O$12,0)+IFERROR($F$13*$O$13,0)+IFERROR($F$14*$O$14,0)+IFERROR($F$15*$O$15,0)+IFERROR($F$16*$O$16,0)+IFERROR($F$17*$O$17,0)+IFERROR($F$18*$O$18,0)+IFERROR($F$19*$O$19,0)+IFERROR($F$20*$O$20,0)+IFERROR($F$21*$O$21,0)+IFERROR($F$22*$O$22,0)+IFERROR($F$23*$O$23,0)+IFERROR($F$24*$O$24,0)+IFERROR($F$25*$O$25,0)+IFERROR($F$26*$O$26,0)+IFERROR($F$27*$O$27,0)+IFERROR($F$28*$O$28,0)+IFERROR($F$29*$O$29,0)+IFERROR($F$30*$O$30,0)+IFERROR($F$31*$O$31,0)+IFERROR($F$32*$O$32,0)+IFERROR($F$33*$O$33,0)+IFERROR($F$34*$O$34,0)+IFERROR($F$35*$O$35,0)+IFERROR($F$36*$O$36,0)+IFERROR($F$37*$O$37,0)+IFERROR($F$38*$O$38,0)+IFERROR($F$39*$O$39,0)+IFERROR($F$40*$O$40,0)+IFERROR(VLOOKUP(E46,Tables!O33:P43,2,FALSE),0)</f>
        <v>0</v>
      </c>
      <c r="Q52" s="36">
        <f>ROUNDUP(P52/3,0)</f>
        <v>0</v>
      </c>
      <c r="R52" s="96">
        <f>ROUNDUP(P52/2,0)</f>
        <v>0</v>
      </c>
      <c r="S52" s="42"/>
      <c r="T52" s="119"/>
      <c r="U52" s="85"/>
    </row>
    <row r="53" spans="2:21" ht="18">
      <c r="B53" s="85"/>
      <c r="C53" s="41"/>
      <c r="D53" s="186"/>
      <c r="E53" s="187"/>
      <c r="F53" s="187"/>
      <c r="G53" s="187"/>
      <c r="H53" s="188"/>
      <c r="I53" s="33"/>
      <c r="J53" s="101" t="s">
        <v>67</v>
      </c>
      <c r="K53" s="158">
        <f>IFERROR($E$6*$S$6,0)+IFERROR($E$7*$S$7,0)+IFERROR($E$8*$S$8,0)+IFERROR($E$9*$S$9,0)+IFERROR($E$10*$S$10,0)+IFERROR($E$11*$S$11,0)+IFERROR($E$12*$S$12,0)+IFERROR($E$13*$S$13,0)+IFERROR($E$14*$S$14,0)+IFERROR($E$15*$S$15,0)+IFERROR($E$16*$S$16,0)+IFERROR($E$17*$S$17,0)+IFERROR($E$18*$S$18,0)+IFERROR($E$19*$S$19,0)+IFERROR($E$20*$S$20,0)+IFERROR($E$21*$S$21,0)+IFERROR($E$22*$S$22,0)+IFERROR($E$23*$S$23,0)+IFERROR($E$24*$S$24,0)+IFERROR($E$25*$S$25,0)+IFERROR($E$26*$S$26,0)+IFERROR($E$27*$S$27,0)+IFERROR($E$28*$S$28,0)+IFERROR($E$29*$S$29,0)+IFERROR($E$30*$S$30,0)+IFERROR($E$31*$S$31,0)+IFERROR($E$32*$S$32,0)+IFERROR($E$33*$S$33,0)+IFERROR($E$34*$S$34,0)+IFERROR($E$35*$S$35,0)+IFERROR($E$36*$S$36,0)+IFERROR($E$37*$S$37,0)+IFERROR($E$38*$S$38,0)+IFERROR($E$39*$S$39,0)+IFERROR($E$40*$S$40,0) +IFERROR(VLOOKUP(E45,Tables!L33:M43,2,FALSE),0)+IFERROR(VLOOKUP(G45,Tables!R33:S37,2,FALSE),0)</f>
        <v>114</v>
      </c>
      <c r="L53" s="159"/>
      <c r="M53" s="160"/>
      <c r="N53" s="33"/>
      <c r="O53" s="101" t="s">
        <v>67</v>
      </c>
      <c r="P53" s="158">
        <f>IFERROR($F$6*$S$6,0)+IFERROR($F$7*$S$7,0)+IFERROR($F$8*$S$8,0)+IFERROR($F$9*$S$9,0)+IFERROR($F$10*$S$10,0)+IFERROR($F$11*$S$11,0)+IFERROR($F$12*$S$12,0)+IFERROR($F$13*$S$13,0)+IFERROR($F$14*$S$14,0)+IFERROR($F$15*$S$15,0)+IFERROR($F$16*$S$16,0)+IFERROR($F$17*$S$17,0)+IFERROR($F$18*$S$18,0)+IFERROR($F$19*$S$19,0)+IFERROR($F$20*$S$20,0)+IFERROR($F$21*$S$21,0)+IFERROR($F$22*$S$22,0)+IFERROR($F$23*$S$23,0)+IFERROR($F$24*$S$24,0)+IFERROR($F$25*$S$25,0)+IFERROR($F$26*$S$26,0)+IFERROR($F$27*$S$27,0)+IFERROR($F$28*$S$28,0)+IFERROR($F$29*$S$29,0)+IFERROR($F$30*$S$30,0)+IFERROR($F$31*$S$31,0)+IFERROR($F$32*$S$32,0)+IFERROR($F$33*$S$33,0)+IFERROR($F$34*$S$34,0)+IFERROR($F$35*$S$35,0)+IFERROR($F$36*$S$36,0)+IFERROR($F$37*$S$37,0)+IFERROR($F$38*$S$38,0)+IFERROR($F$39*$S$39,0)+IFERROR($F$40*$S$40,0) +IFERROR(VLOOKUP(E46,Tables!L33:M43,2,FALSE),0)+IFERROR(VLOOKUP(G46,Tables!R33:S37,2,FALSE),0)</f>
        <v>0</v>
      </c>
      <c r="Q53" s="159"/>
      <c r="R53" s="160"/>
      <c r="S53" s="42"/>
      <c r="T53" s="119"/>
      <c r="U53" s="85"/>
    </row>
    <row r="54" spans="2:21" ht="13.8">
      <c r="B54" s="85"/>
      <c r="C54" s="41"/>
      <c r="D54" s="186"/>
      <c r="E54" s="187"/>
      <c r="F54" s="187"/>
      <c r="G54" s="187"/>
      <c r="H54" s="188"/>
      <c r="N54" s="33"/>
      <c r="S54" s="42"/>
      <c r="T54" s="119"/>
      <c r="U54" s="85"/>
    </row>
    <row r="55" spans="2:21" ht="18">
      <c r="B55" s="85"/>
      <c r="C55" s="41"/>
      <c r="D55" s="186"/>
      <c r="E55" s="187"/>
      <c r="F55" s="187"/>
      <c r="G55" s="187"/>
      <c r="H55" s="188"/>
      <c r="N55" s="33"/>
      <c r="O55" s="164" t="s">
        <v>70</v>
      </c>
      <c r="P55" s="165"/>
      <c r="Q55" s="165"/>
      <c r="R55" s="165"/>
      <c r="S55" s="42"/>
      <c r="T55" s="119"/>
      <c r="U55" s="85"/>
    </row>
    <row r="56" spans="2:21" ht="13.8">
      <c r="B56" s="85"/>
      <c r="C56" s="41"/>
      <c r="D56" s="186"/>
      <c r="E56" s="187"/>
      <c r="F56" s="187"/>
      <c r="G56" s="187"/>
      <c r="H56" s="188"/>
      <c r="O56" s="97"/>
      <c r="P56" s="99" t="s">
        <v>72</v>
      </c>
      <c r="Q56" s="166" t="s">
        <v>145</v>
      </c>
      <c r="R56" s="167"/>
      <c r="S56" s="42"/>
      <c r="T56" s="119"/>
      <c r="U56" s="85"/>
    </row>
    <row r="57" spans="2:21" ht="15.6">
      <c r="B57" s="85"/>
      <c r="C57" s="41"/>
      <c r="D57" s="210" t="s">
        <v>165</v>
      </c>
      <c r="E57" s="211"/>
      <c r="F57" s="207">
        <f>IFERROR(VLOOKUP(D49,Tables!M48:N65,2,FALSE),0)+IFERROR(VLOOKUP(D50,Tables!M48:N65,2,FALSE),0)+IFERROR(VLOOKUP(D51,Tables!M48:N65,2,FALSE),0)+IFERROR(VLOOKUP(D52,Tables!M48:N65,2,FALSE),0)+IFERROR(VLOOKUP(D53,Tables!M48:N65,2,FALSE),0)+IFERROR(VLOOKUP(D54,Tables!M48:N65,2,FALSE),0)+IFERROR(VLOOKUP(D55,Tables!M48:N65,2,FALSE),0)+IFERROR(VLOOKUP(D56,Tables!M48:N65,2,FALSE),0)</f>
        <v>3</v>
      </c>
      <c r="G57" s="208"/>
      <c r="H57" s="209"/>
      <c r="J57" s="170" t="s">
        <v>190</v>
      </c>
      <c r="K57" s="171"/>
      <c r="L57" s="168">
        <v>2</v>
      </c>
      <c r="M57" s="169"/>
      <c r="O57" s="97"/>
      <c r="P57" s="98">
        <f>IFERROR(SUM(K47,P47,K52,P52)+VLOOKUP(Q43,Tables!$O$16:$P$17,2,FALSE),0)</f>
        <v>38</v>
      </c>
      <c r="Q57" s="172">
        <f>ROUNDUP(P57/2,0)</f>
        <v>19</v>
      </c>
      <c r="R57" s="173"/>
      <c r="S57" s="42"/>
      <c r="T57" s="119"/>
      <c r="U57" s="85"/>
    </row>
    <row r="58" spans="2:21" ht="18">
      <c r="B58" s="85"/>
      <c r="C58" s="41"/>
      <c r="O58" s="100" t="s">
        <v>67</v>
      </c>
      <c r="P58" s="155">
        <f>IFERROR(SUM(K48,P48,K53,P53)+IFERROR(VLOOKUP(M43,Tables!$E$33:$F$36,2,FALSE),0)+L57+F57+IF(Q43="Fortified",5,0),0)</f>
        <v>400</v>
      </c>
      <c r="Q58" s="156"/>
      <c r="R58" s="157"/>
      <c r="S58" s="42"/>
      <c r="T58" s="119"/>
      <c r="U58" s="85"/>
    </row>
    <row r="59" spans="2:21" ht="14.4" thickBot="1">
      <c r="B59" s="85"/>
      <c r="C59" s="41"/>
      <c r="N59" s="33"/>
      <c r="S59" s="42"/>
      <c r="T59" s="119"/>
      <c r="U59" s="85"/>
    </row>
    <row r="60" spans="2:21" ht="21" customHeight="1" thickBot="1">
      <c r="B60" s="85"/>
      <c r="C60" s="215" t="s">
        <v>258</v>
      </c>
      <c r="D60" s="215"/>
      <c r="E60" s="215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5" t="s">
        <v>256</v>
      </c>
      <c r="S60" s="196"/>
      <c r="T60" s="119"/>
      <c r="U60" s="85"/>
    </row>
    <row r="61" spans="2:21" ht="11.25" customHeight="1">
      <c r="B61" s="85"/>
      <c r="C61" s="88"/>
      <c r="D61" s="85"/>
      <c r="E61" s="85"/>
      <c r="F61" s="85"/>
      <c r="G61" s="86"/>
      <c r="H61" s="86"/>
      <c r="I61" s="86"/>
      <c r="J61" s="86"/>
      <c r="K61" s="86"/>
      <c r="L61" s="86"/>
      <c r="M61" s="87"/>
      <c r="N61" s="85"/>
      <c r="O61" s="85"/>
      <c r="P61" s="85"/>
      <c r="Q61" s="85"/>
      <c r="R61" s="85"/>
      <c r="S61" s="85"/>
      <c r="T61" s="85"/>
      <c r="U61" s="85"/>
    </row>
    <row r="62" spans="2:21" ht="15.6" hidden="1">
      <c r="C62" s="47"/>
      <c r="D62" s="47"/>
      <c r="E62" s="47"/>
      <c r="F62" s="47"/>
      <c r="G62" s="48"/>
      <c r="I62" s="46"/>
      <c r="J62" s="46"/>
      <c r="K62" s="46"/>
      <c r="L62" s="46"/>
      <c r="M62" s="46"/>
      <c r="N62" s="49"/>
    </row>
    <row r="63" spans="2:21" ht="13.8" hidden="1"/>
    <row r="64" spans="2:21" ht="13.8" hidden="1"/>
    <row r="65" ht="13.8" hidden="1"/>
    <row r="66" ht="13.8" hidden="1"/>
    <row r="67" ht="13.8" hidden="1"/>
    <row r="68" ht="13.8" hidden="1"/>
    <row r="69" ht="13.8" hidden="1"/>
    <row r="70" ht="13.8" hidden="1"/>
    <row r="71" ht="13.8" hidden="1"/>
    <row r="72" ht="13.8" hidden="1"/>
    <row r="73" ht="13.8" hidden="1"/>
    <row r="74" ht="13.8" hidden="1"/>
    <row r="75" ht="13.8" hidden="1"/>
    <row r="76" ht="13.8" hidden="1"/>
    <row r="77" ht="13.8" hidden="1"/>
    <row r="78" ht="13.8" hidden="1"/>
    <row r="79" ht="13.8" hidden="1"/>
    <row r="80" ht="13.8" hidden="1"/>
    <row r="81" ht="13.8" hidden="1"/>
    <row r="82" ht="13.8" hidden="1"/>
    <row r="83" ht="13.8" hidden="1"/>
    <row r="84" ht="13.8" hidden="1"/>
    <row r="85" ht="13.8" hidden="1"/>
    <row r="86" ht="13.8" hidden="1"/>
    <row r="87" ht="13.8" hidden="1"/>
    <row r="88" ht="17.100000000000001" hidden="1" customHeight="1"/>
    <row r="89" ht="17.100000000000001" hidden="1" customHeight="1"/>
    <row r="90" ht="17.100000000000001" hidden="1" customHeight="1"/>
  </sheetData>
  <sheetProtection sheet="1" selectLockedCells="1" autoFilter="0"/>
  <autoFilter ref="T5:T40" xr:uid="{00000000-0009-0000-0000-000002000000}">
    <filterColumn colId="0">
      <customFilters>
        <customFilter operator="notEqual" val=" "/>
      </customFilters>
    </filterColumn>
  </autoFilter>
  <mergeCells count="85">
    <mergeCell ref="P58:R58"/>
    <mergeCell ref="C60:E60"/>
    <mergeCell ref="F60:Q60"/>
    <mergeCell ref="R60:S60"/>
    <mergeCell ref="D54:H54"/>
    <mergeCell ref="D55:H55"/>
    <mergeCell ref="O55:R55"/>
    <mergeCell ref="D56:H56"/>
    <mergeCell ref="Q56:R56"/>
    <mergeCell ref="D57:E57"/>
    <mergeCell ref="F57:H57"/>
    <mergeCell ref="J57:K57"/>
    <mergeCell ref="L57:M57"/>
    <mergeCell ref="Q57:R57"/>
    <mergeCell ref="D53:H53"/>
    <mergeCell ref="K53:M53"/>
    <mergeCell ref="P53:R53"/>
    <mergeCell ref="E46:F46"/>
    <mergeCell ref="G46:H46"/>
    <mergeCell ref="D48:H48"/>
    <mergeCell ref="K48:M48"/>
    <mergeCell ref="P48:R48"/>
    <mergeCell ref="D49:H49"/>
    <mergeCell ref="D50:H50"/>
    <mergeCell ref="J50:M50"/>
    <mergeCell ref="O50:R50"/>
    <mergeCell ref="D51:H51"/>
    <mergeCell ref="D52:H52"/>
    <mergeCell ref="O45:R45"/>
    <mergeCell ref="E42:F42"/>
    <mergeCell ref="G42:H42"/>
    <mergeCell ref="M42:O42"/>
    <mergeCell ref="Q42:R42"/>
    <mergeCell ref="E43:F43"/>
    <mergeCell ref="G43:H43"/>
    <mergeCell ref="M43:O43"/>
    <mergeCell ref="Q43:R43"/>
    <mergeCell ref="E44:F44"/>
    <mergeCell ref="G44:H44"/>
    <mergeCell ref="E45:F45"/>
    <mergeCell ref="G45:H45"/>
    <mergeCell ref="J45:M45"/>
    <mergeCell ref="I40:J40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28:J28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16:J16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C2:S2"/>
    <mergeCell ref="C3:D3"/>
    <mergeCell ref="E3:M3"/>
    <mergeCell ref="O3:S3"/>
    <mergeCell ref="C4:F4"/>
    <mergeCell ref="G4:H4"/>
    <mergeCell ref="I4:J4"/>
  </mergeCells>
  <conditionalFormatting sqref="F57">
    <cfRule type="cellIs" dxfId="2" priority="3" operator="greaterThan">
      <formula>0.06*$P$58</formula>
    </cfRule>
  </conditionalFormatting>
  <conditionalFormatting sqref="J47 O47 J52 O52">
    <cfRule type="cellIs" dxfId="1" priority="2" operator="greaterThan">
      <formula>0.7</formula>
    </cfRule>
  </conditionalFormatting>
  <conditionalFormatting sqref="L6:L40">
    <cfRule type="expression" dxfId="0" priority="1">
      <formula>AND(L6&gt;4,OR(R6=2,R6="2-"))</formula>
    </cfRule>
  </conditionalFormatting>
  <dataValidations count="14">
    <dataValidation type="list" allowBlank="1" showInputMessage="1" showErrorMessage="1" sqref="O3" xr:uid="{00000000-0002-0000-0200-000000000000}">
      <formula1>VOLUME</formula1>
    </dataValidation>
    <dataValidation type="list" showInputMessage="1" showErrorMessage="1" sqref="P6:P40" xr:uid="{00000000-0002-0000-0200-000001000000}">
      <formula1>Weapon</formula1>
    </dataValidation>
    <dataValidation type="list" showInputMessage="1" showErrorMessage="1" sqref="R6:R40" xr:uid="{00000000-0002-0000-0200-000002000000}">
      <formula1>LargeUnit</formula1>
    </dataValidation>
    <dataValidation type="list" showInputMessage="1" showErrorMessage="1" sqref="Q6:Q40" xr:uid="{00000000-0002-0000-0200-000003000000}">
      <formula1>Special</formula1>
    </dataValidation>
    <dataValidation type="list" showInputMessage="1" showErrorMessage="1" sqref="N6:N40" xr:uid="{00000000-0002-0000-0200-000004000000}">
      <formula1>Discipline</formula1>
    </dataValidation>
    <dataValidation type="list" showInputMessage="1" showErrorMessage="1" sqref="M6:M40" xr:uid="{00000000-0002-0000-0200-000005000000}">
      <formula1>IMPETUS</formula1>
    </dataValidation>
    <dataValidation type="list" showInputMessage="1" showErrorMessage="1" sqref="L6:L40" xr:uid="{00000000-0002-0000-0200-000006000000}">
      <formula1>VBU</formula1>
    </dataValidation>
    <dataValidation type="list" showInputMessage="1" showErrorMessage="1" sqref="K6:K40" xr:uid="{00000000-0002-0000-0200-000007000000}">
      <formula1>Type</formula1>
    </dataValidation>
    <dataValidation type="list" allowBlank="1" showInputMessage="1" showErrorMessage="1" sqref="E43:E46" xr:uid="{00000000-0002-0000-0200-000008000000}">
      <formula1>General_Name</formula1>
    </dataValidation>
    <dataValidation type="list" allowBlank="1" showErrorMessage="1" sqref="M43" xr:uid="{00000000-0002-0000-0200-000009000000}">
      <formula1>CS_Name</formula1>
    </dataValidation>
    <dataValidation type="list" allowBlank="1" showInputMessage="1" showErrorMessage="1" sqref="L57:M57" xr:uid="{00000000-0002-0000-0200-00000A000000}">
      <formula1>Explore</formula1>
    </dataValidation>
    <dataValidation type="list" allowBlank="1" showErrorMessage="1" sqref="Q43:R43" xr:uid="{00000000-0002-0000-0200-00000B000000}">
      <formula1>Baggage</formula1>
    </dataValidation>
    <dataValidation type="list" allowBlank="1" showInputMessage="1" showErrorMessage="1" sqref="G43:G46" xr:uid="{00000000-0002-0000-0200-00000C000000}">
      <formula1>General_Ability</formula1>
    </dataValidation>
    <dataValidation type="list" allowBlank="1" showInputMessage="1" showErrorMessage="1" sqref="D49:D56" xr:uid="{00000000-0002-0000-0200-00000D000000}">
      <formula1>Card</formula1>
    </dataValidation>
  </dataValidations>
  <printOptions horizontalCentered="1" verticalCentered="1"/>
  <pageMargins left="0" right="0" top="0" bottom="0" header="0" footer="0"/>
  <pageSetup paperSize="9" scale="58" firstPageNumber="0" orientation="landscape" horizontalDpi="4294967294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10</xdr:col>
                    <xdr:colOff>541020</xdr:colOff>
                    <xdr:row>40</xdr:row>
                    <xdr:rowOff>7620</xdr:rowOff>
                  </from>
                  <to>
                    <xdr:col>11</xdr:col>
                    <xdr:colOff>30480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10</xdr:col>
                    <xdr:colOff>541020</xdr:colOff>
                    <xdr:row>41</xdr:row>
                    <xdr:rowOff>38100</xdr:rowOff>
                  </from>
                  <to>
                    <xdr:col>11</xdr:col>
                    <xdr:colOff>45720</xdr:colOff>
                    <xdr:row>42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>
                  <from>
                    <xdr:col>10</xdr:col>
                    <xdr:colOff>541020</xdr:colOff>
                    <xdr:row>42</xdr:row>
                    <xdr:rowOff>22860</xdr:rowOff>
                  </from>
                  <to>
                    <xdr:col>11</xdr:col>
                    <xdr:colOff>45720</xdr:colOff>
                    <xdr:row>43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B20" sqref="B20"/>
    </sheetView>
  </sheetViews>
  <sheetFormatPr defaultRowHeight="13.2"/>
  <cols>
    <col min="1" max="1" width="8.5546875" bestFit="1" customWidth="1"/>
    <col min="2" max="2" width="127.6640625" customWidth="1"/>
    <col min="3" max="3" width="4" bestFit="1" customWidth="1"/>
    <col min="4" max="4" width="3.5546875" bestFit="1" customWidth="1"/>
    <col min="5" max="5" width="3" bestFit="1" customWidth="1"/>
    <col min="6" max="6" width="3.5546875" bestFit="1" customWidth="1"/>
    <col min="7" max="7" width="4.6640625" bestFit="1" customWidth="1"/>
  </cols>
  <sheetData>
    <row r="1" spans="1:2" ht="13.8">
      <c r="A1" s="81" t="s">
        <v>93</v>
      </c>
    </row>
    <row r="3" spans="1:2">
      <c r="B3" s="80" t="s">
        <v>250</v>
      </c>
    </row>
    <row r="5" spans="1:2">
      <c r="B5" s="80" t="s">
        <v>248</v>
      </c>
    </row>
    <row r="6" spans="1:2">
      <c r="B6" s="80" t="s">
        <v>251</v>
      </c>
    </row>
    <row r="7" spans="1:2">
      <c r="B7" s="80" t="s">
        <v>252</v>
      </c>
    </row>
    <row r="8" spans="1:2">
      <c r="B8" s="80" t="s">
        <v>253</v>
      </c>
    </row>
    <row r="10" spans="1:2">
      <c r="B10" s="80" t="s">
        <v>231</v>
      </c>
    </row>
    <row r="12" spans="1:2">
      <c r="B12" s="80" t="s">
        <v>294</v>
      </c>
    </row>
    <row r="13" spans="1:2">
      <c r="B13" t="s">
        <v>295</v>
      </c>
    </row>
    <row r="14" spans="1:2">
      <c r="B14" t="s">
        <v>296</v>
      </c>
    </row>
    <row r="15" spans="1:2">
      <c r="B15" t="s">
        <v>297</v>
      </c>
    </row>
    <row r="20" spans="2:7">
      <c r="B20" s="94"/>
    </row>
    <row r="21" spans="2:7">
      <c r="B21" s="94"/>
      <c r="G21" s="91"/>
    </row>
    <row r="22" spans="2:7">
      <c r="B22" s="94"/>
      <c r="G22" s="91"/>
    </row>
    <row r="23" spans="2:7">
      <c r="B23" s="94"/>
      <c r="G23" s="91"/>
    </row>
    <row r="24" spans="2:7">
      <c r="B24" s="94"/>
    </row>
    <row r="25" spans="2:7">
      <c r="B25" s="94"/>
    </row>
    <row r="26" spans="2:7">
      <c r="B26" s="94"/>
    </row>
    <row r="27" spans="2:7">
      <c r="B27" s="94"/>
    </row>
    <row r="28" spans="2:7">
      <c r="B28" s="94"/>
    </row>
    <row r="29" spans="2:7">
      <c r="B29" s="94"/>
    </row>
    <row r="30" spans="2:7">
      <c r="B30" s="94"/>
    </row>
    <row r="31" spans="2:7">
      <c r="B31" s="94"/>
    </row>
    <row r="32" spans="2:7">
      <c r="B32" s="94"/>
    </row>
  </sheetData>
  <sheetProtection sheet="1" selectLockedCells="1" selectUnlockedCells="1"/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F85"/>
  <sheetViews>
    <sheetView topLeftCell="A7" zoomScale="80" zoomScaleNormal="80" workbookViewId="0">
      <selection activeCell="T44" sqref="T44"/>
    </sheetView>
  </sheetViews>
  <sheetFormatPr defaultColWidth="11.44140625" defaultRowHeight="13.2"/>
  <cols>
    <col min="1" max="1" width="4.6640625" customWidth="1"/>
    <col min="2" max="2" width="10.44140625" bestFit="1" customWidth="1"/>
    <col min="3" max="3" width="4.6640625" bestFit="1" customWidth="1"/>
    <col min="4" max="4" width="4.88671875" customWidth="1"/>
    <col min="5" max="5" width="8.109375" bestFit="1" customWidth="1"/>
    <col min="6" max="6" width="6" bestFit="1" customWidth="1"/>
    <col min="7" max="7" width="5.109375" customWidth="1"/>
    <col min="8" max="8" width="6.44140625" bestFit="1" customWidth="1"/>
    <col min="9" max="9" width="4.6640625" hidden="1" customWidth="1"/>
    <col min="10" max="10" width="4.5546875" hidden="1" customWidth="1"/>
    <col min="11" max="11" width="3.109375" customWidth="1"/>
    <col min="12" max="12" width="15.44140625" bestFit="1" customWidth="1"/>
    <col min="13" max="13" width="23.33203125" customWidth="1"/>
    <col min="14" max="14" width="4.88671875" customWidth="1"/>
    <col min="15" max="15" width="15.44140625" bestFit="1" customWidth="1"/>
    <col min="16" max="16" width="6.6640625" bestFit="1" customWidth="1"/>
    <col min="17" max="17" width="4.88671875" customWidth="1"/>
    <col min="18" max="19" width="10.33203125" customWidth="1"/>
    <col min="20" max="20" width="4.33203125" customWidth="1"/>
    <col min="21" max="21" width="52.5546875" customWidth="1"/>
    <col min="22" max="22" width="2.109375" customWidth="1"/>
    <col min="23" max="23" width="1.88671875" customWidth="1"/>
    <col min="24" max="24" width="4.5546875" customWidth="1"/>
    <col min="25" max="25" width="6.33203125" bestFit="1" customWidth="1"/>
    <col min="26" max="26" width="3.33203125" customWidth="1"/>
    <col min="27" max="27" width="4.88671875" customWidth="1"/>
    <col min="28" max="28" width="5.33203125" bestFit="1" customWidth="1"/>
    <col min="29" max="29" width="13.109375" bestFit="1" customWidth="1"/>
  </cols>
  <sheetData>
    <row r="1" spans="2:32" ht="14.4" thickBot="1">
      <c r="C1" s="2"/>
      <c r="D1" s="2"/>
      <c r="G1" s="2"/>
      <c r="H1" s="2"/>
      <c r="I1" s="2"/>
      <c r="L1" s="2"/>
      <c r="M1" s="3"/>
      <c r="N1" s="3"/>
      <c r="O1" s="3"/>
      <c r="P1" s="3"/>
      <c r="Q1" s="3"/>
      <c r="R1" s="3"/>
      <c r="S1" s="3"/>
      <c r="U1" s="1" t="s">
        <v>96</v>
      </c>
    </row>
    <row r="2" spans="2:32" ht="14.4" thickBot="1">
      <c r="B2" s="4" t="s">
        <v>35</v>
      </c>
      <c r="C2" s="19" t="s">
        <v>28</v>
      </c>
      <c r="D2" s="2"/>
      <c r="E2" s="75" t="s">
        <v>33</v>
      </c>
      <c r="F2" s="76" t="s">
        <v>28</v>
      </c>
      <c r="G2" s="2"/>
      <c r="L2" s="75" t="s">
        <v>29</v>
      </c>
      <c r="M2" s="76" t="s">
        <v>28</v>
      </c>
      <c r="N2" s="1"/>
      <c r="O2" s="4" t="s">
        <v>7</v>
      </c>
      <c r="P2" s="6" t="s">
        <v>28</v>
      </c>
      <c r="Q2" s="83"/>
      <c r="R2" s="4" t="s">
        <v>27</v>
      </c>
      <c r="S2" s="5" t="s">
        <v>28</v>
      </c>
      <c r="U2" t="s">
        <v>255</v>
      </c>
    </row>
    <row r="3" spans="2:32" ht="13.8">
      <c r="B3" s="7" t="s">
        <v>37</v>
      </c>
      <c r="C3" s="16">
        <v>10</v>
      </c>
      <c r="D3" s="9"/>
      <c r="E3" s="77" t="s">
        <v>34</v>
      </c>
      <c r="F3" s="78">
        <v>0</v>
      </c>
      <c r="G3" s="9"/>
      <c r="K3" s="10"/>
      <c r="L3" s="77" t="s">
        <v>26</v>
      </c>
      <c r="M3" s="78">
        <v>0</v>
      </c>
      <c r="O3" s="7">
        <v>1</v>
      </c>
      <c r="P3" s="8">
        <v>0</v>
      </c>
      <c r="Q3" s="17"/>
      <c r="R3" s="7">
        <v>0</v>
      </c>
      <c r="S3" s="8">
        <v>-2</v>
      </c>
      <c r="U3" t="s">
        <v>254</v>
      </c>
      <c r="X3" s="10"/>
      <c r="Y3" s="10"/>
      <c r="Z3" s="10"/>
      <c r="AA3" s="10"/>
      <c r="AB3" s="10"/>
      <c r="AC3" s="10"/>
    </row>
    <row r="4" spans="2:32" ht="13.8">
      <c r="B4" s="20" t="s">
        <v>12</v>
      </c>
      <c r="C4" s="16">
        <v>5</v>
      </c>
      <c r="D4" s="9"/>
      <c r="E4" s="55" t="s">
        <v>36</v>
      </c>
      <c r="F4" s="56">
        <v>2</v>
      </c>
      <c r="G4" s="9"/>
      <c r="L4" s="55" t="s">
        <v>30</v>
      </c>
      <c r="M4" s="56">
        <v>20</v>
      </c>
      <c r="O4" s="7">
        <v>2</v>
      </c>
      <c r="P4" s="8">
        <v>2</v>
      </c>
      <c r="Q4" s="17"/>
      <c r="R4" s="7">
        <v>1</v>
      </c>
      <c r="S4" s="8">
        <v>1</v>
      </c>
      <c r="U4" t="s">
        <v>225</v>
      </c>
      <c r="AD4" s="11"/>
    </row>
    <row r="5" spans="2:32" ht="13.5" customHeight="1" thickBot="1">
      <c r="B5" s="22" t="s">
        <v>14</v>
      </c>
      <c r="C5" s="23">
        <v>0</v>
      </c>
      <c r="D5" s="9"/>
      <c r="E5" s="55" t="s">
        <v>86</v>
      </c>
      <c r="F5" s="56">
        <v>0</v>
      </c>
      <c r="G5" s="9"/>
      <c r="L5" s="55" t="s">
        <v>31</v>
      </c>
      <c r="M5" s="56">
        <v>15</v>
      </c>
      <c r="O5" s="7">
        <v>3</v>
      </c>
      <c r="P5" s="8">
        <v>4</v>
      </c>
      <c r="Q5" s="17"/>
      <c r="R5" s="7">
        <v>2</v>
      </c>
      <c r="S5" s="8">
        <v>2</v>
      </c>
      <c r="U5" t="s">
        <v>102</v>
      </c>
      <c r="X5" s="12"/>
      <c r="AD5" s="13"/>
      <c r="AE5" s="13"/>
    </row>
    <row r="6" spans="2:32">
      <c r="E6" s="55" t="s">
        <v>38</v>
      </c>
      <c r="F6" s="56">
        <v>1</v>
      </c>
      <c r="L6" s="55" t="s">
        <v>32</v>
      </c>
      <c r="M6" s="56">
        <v>20</v>
      </c>
      <c r="O6" s="7">
        <v>4</v>
      </c>
      <c r="P6" s="8">
        <v>7</v>
      </c>
      <c r="R6" s="7">
        <v>3</v>
      </c>
      <c r="S6" s="8">
        <v>3</v>
      </c>
    </row>
    <row r="7" spans="2:32" ht="14.85" customHeight="1" thickBot="1">
      <c r="E7" s="55" t="s">
        <v>40</v>
      </c>
      <c r="F7" s="56">
        <v>0</v>
      </c>
      <c r="L7" s="55" t="s">
        <v>298</v>
      </c>
      <c r="M7" s="79">
        <v>3</v>
      </c>
      <c r="N7" s="17"/>
      <c r="O7" s="7">
        <v>5</v>
      </c>
      <c r="P7" s="8">
        <v>12</v>
      </c>
      <c r="Q7" s="17"/>
      <c r="R7" s="7">
        <v>4</v>
      </c>
      <c r="S7" s="8">
        <v>4</v>
      </c>
      <c r="U7" s="94" t="s">
        <v>236</v>
      </c>
      <c r="X7" s="91" t="s">
        <v>226</v>
      </c>
      <c r="AC7" s="25" t="s">
        <v>234</v>
      </c>
      <c r="AD7" s="17"/>
      <c r="AE7" s="17"/>
      <c r="AF7" s="18"/>
    </row>
    <row r="8" spans="2:32" ht="12.75" customHeight="1" thickBot="1">
      <c r="E8" s="55" t="s">
        <v>110</v>
      </c>
      <c r="F8" s="56">
        <v>2</v>
      </c>
      <c r="L8" s="55" t="s">
        <v>117</v>
      </c>
      <c r="M8" s="79">
        <v>6</v>
      </c>
      <c r="N8" s="17"/>
      <c r="O8" s="7">
        <v>6</v>
      </c>
      <c r="P8" s="8">
        <v>18</v>
      </c>
      <c r="Q8" s="17"/>
      <c r="R8" s="7">
        <v>5</v>
      </c>
      <c r="S8" s="8">
        <v>5</v>
      </c>
      <c r="U8" s="94" t="s">
        <v>237</v>
      </c>
      <c r="X8" s="75" t="s">
        <v>33</v>
      </c>
      <c r="Y8" s="76" t="s">
        <v>28</v>
      </c>
      <c r="Z8" s="2"/>
      <c r="AA8" s="24" t="s">
        <v>132</v>
      </c>
      <c r="AB8" s="24" t="s">
        <v>28</v>
      </c>
      <c r="AC8" s="25" t="s">
        <v>235</v>
      </c>
      <c r="AD8" s="17"/>
      <c r="AE8" s="17"/>
      <c r="AF8" s="18"/>
    </row>
    <row r="9" spans="2:32" ht="14.4" thickBot="1">
      <c r="E9" s="55" t="s">
        <v>111</v>
      </c>
      <c r="F9" s="56">
        <v>4</v>
      </c>
      <c r="L9" s="55" t="s">
        <v>119</v>
      </c>
      <c r="M9" s="79">
        <v>5</v>
      </c>
      <c r="N9" s="17"/>
      <c r="O9" s="7">
        <v>7</v>
      </c>
      <c r="P9" s="8">
        <v>25</v>
      </c>
      <c r="Q9" s="17"/>
      <c r="R9" s="14">
        <v>6</v>
      </c>
      <c r="S9" s="15">
        <v>6</v>
      </c>
      <c r="X9" s="77" t="s">
        <v>34</v>
      </c>
      <c r="Y9" s="78">
        <v>0</v>
      </c>
      <c r="Z9" s="9"/>
      <c r="AA9" s="137">
        <v>2</v>
      </c>
      <c r="AB9" s="24">
        <v>0</v>
      </c>
      <c r="AC9" s="25">
        <f>Y9+AB9</f>
        <v>0</v>
      </c>
      <c r="AD9" s="17"/>
      <c r="AE9" s="17"/>
      <c r="AF9" s="18"/>
    </row>
    <row r="10" spans="2:32" ht="14.4" thickBot="1">
      <c r="C10" s="1"/>
      <c r="E10" s="55" t="s">
        <v>43</v>
      </c>
      <c r="F10" s="56">
        <v>4</v>
      </c>
      <c r="L10" s="55" t="s">
        <v>118</v>
      </c>
      <c r="M10" s="56">
        <v>3</v>
      </c>
      <c r="N10" s="17"/>
      <c r="O10" s="14">
        <v>8</v>
      </c>
      <c r="P10" s="15">
        <v>35</v>
      </c>
      <c r="Q10" s="17"/>
      <c r="U10" s="72" t="s">
        <v>83</v>
      </c>
      <c r="X10" s="55" t="s">
        <v>36</v>
      </c>
      <c r="Y10" s="56">
        <v>0</v>
      </c>
      <c r="Z10" s="9"/>
      <c r="AA10" s="137">
        <v>3</v>
      </c>
      <c r="AB10" s="24">
        <v>2</v>
      </c>
      <c r="AC10" s="25">
        <f t="shared" ref="AC10:AC24" si="0">Y10+AB10</f>
        <v>2</v>
      </c>
      <c r="AD10" s="17"/>
      <c r="AE10" s="17"/>
      <c r="AF10" s="18"/>
    </row>
    <row r="11" spans="2:32" ht="13.8">
      <c r="B11" s="1"/>
      <c r="C11" s="1"/>
      <c r="E11" s="55" t="s">
        <v>45</v>
      </c>
      <c r="F11" s="56">
        <v>7</v>
      </c>
      <c r="L11" s="55" t="s">
        <v>16</v>
      </c>
      <c r="M11" s="79">
        <v>8</v>
      </c>
      <c r="N11" s="17"/>
      <c r="U11" s="73" t="s">
        <v>239</v>
      </c>
      <c r="X11" s="55" t="s">
        <v>86</v>
      </c>
      <c r="Y11" s="56">
        <v>0</v>
      </c>
      <c r="Z11" s="9"/>
      <c r="AA11" s="137">
        <v>2</v>
      </c>
      <c r="AB11" s="24">
        <v>0</v>
      </c>
      <c r="AC11" s="25">
        <f t="shared" si="0"/>
        <v>0</v>
      </c>
      <c r="AD11" s="17"/>
      <c r="AE11" s="17"/>
      <c r="AF11" s="17"/>
    </row>
    <row r="12" spans="2:32">
      <c r="E12" s="55" t="s">
        <v>46</v>
      </c>
      <c r="F12" s="56">
        <v>0</v>
      </c>
      <c r="L12" s="55" t="s">
        <v>13</v>
      </c>
      <c r="M12" s="56">
        <v>3</v>
      </c>
      <c r="N12" s="17"/>
      <c r="U12" s="73" t="s">
        <v>240</v>
      </c>
      <c r="X12" s="55" t="s">
        <v>38</v>
      </c>
      <c r="Y12" s="56">
        <v>1</v>
      </c>
      <c r="AA12" s="137">
        <v>2</v>
      </c>
      <c r="AB12" s="24">
        <v>0</v>
      </c>
      <c r="AC12" s="25">
        <f t="shared" si="0"/>
        <v>1</v>
      </c>
    </row>
    <row r="13" spans="2:32">
      <c r="D13" s="21"/>
      <c r="E13" s="55" t="s">
        <v>48</v>
      </c>
      <c r="F13" s="56">
        <v>3</v>
      </c>
      <c r="G13" s="21"/>
      <c r="L13" s="55" t="s">
        <v>39</v>
      </c>
      <c r="M13" s="56">
        <v>2</v>
      </c>
      <c r="N13" s="17"/>
      <c r="Q13" s="17"/>
      <c r="R13" s="17"/>
      <c r="S13" s="17"/>
      <c r="U13" s="73" t="s">
        <v>241</v>
      </c>
      <c r="X13" s="55" t="s">
        <v>40</v>
      </c>
      <c r="Y13" s="56">
        <v>0</v>
      </c>
      <c r="AA13" s="137">
        <v>2</v>
      </c>
      <c r="AB13" s="24">
        <v>0</v>
      </c>
      <c r="AC13" s="25">
        <f t="shared" si="0"/>
        <v>0</v>
      </c>
    </row>
    <row r="14" spans="2:32">
      <c r="E14" s="55" t="s">
        <v>91</v>
      </c>
      <c r="F14" s="56">
        <v>2</v>
      </c>
      <c r="L14" s="55" t="s">
        <v>41</v>
      </c>
      <c r="M14" s="79">
        <v>8</v>
      </c>
      <c r="N14" s="17"/>
      <c r="Q14" s="17"/>
      <c r="R14" s="17"/>
      <c r="S14" s="17"/>
      <c r="U14" s="73" t="s">
        <v>242</v>
      </c>
      <c r="X14" s="55" t="s">
        <v>110</v>
      </c>
      <c r="Y14" s="56">
        <v>2</v>
      </c>
      <c r="AA14" s="137">
        <v>2</v>
      </c>
      <c r="AB14" s="24">
        <v>0</v>
      </c>
      <c r="AC14" s="25">
        <f t="shared" si="0"/>
        <v>2</v>
      </c>
    </row>
    <row r="15" spans="2:32">
      <c r="E15" s="55" t="s">
        <v>73</v>
      </c>
      <c r="F15" s="56">
        <v>0</v>
      </c>
      <c r="L15" s="55" t="s">
        <v>42</v>
      </c>
      <c r="M15" s="79">
        <v>3</v>
      </c>
      <c r="N15" s="17"/>
      <c r="O15" s="25" t="s">
        <v>133</v>
      </c>
      <c r="P15" s="25" t="s">
        <v>10</v>
      </c>
      <c r="Q15" s="17"/>
      <c r="R15" s="25" t="s">
        <v>136</v>
      </c>
      <c r="S15" s="25" t="s">
        <v>11</v>
      </c>
      <c r="U15" s="73" t="s">
        <v>243</v>
      </c>
      <c r="X15" s="55" t="s">
        <v>111</v>
      </c>
      <c r="Y15" s="56">
        <v>2</v>
      </c>
      <c r="AA15" s="137">
        <v>3</v>
      </c>
      <c r="AB15" s="24">
        <v>2</v>
      </c>
      <c r="AC15" s="25">
        <f t="shared" si="0"/>
        <v>4</v>
      </c>
    </row>
    <row r="16" spans="2:32">
      <c r="E16" s="55" t="s">
        <v>89</v>
      </c>
      <c r="F16" s="56">
        <v>0</v>
      </c>
      <c r="L16" s="55" t="s">
        <v>44</v>
      </c>
      <c r="M16" s="79">
        <v>2</v>
      </c>
      <c r="O16" s="24" t="s">
        <v>134</v>
      </c>
      <c r="P16" s="24">
        <v>3</v>
      </c>
      <c r="R16" s="24"/>
      <c r="S16" s="24">
        <v>1</v>
      </c>
      <c r="U16" s="73" t="s">
        <v>247</v>
      </c>
      <c r="X16" s="55" t="s">
        <v>43</v>
      </c>
      <c r="Y16" s="56">
        <v>2</v>
      </c>
      <c r="AA16" s="137">
        <v>3</v>
      </c>
      <c r="AB16" s="24">
        <v>2</v>
      </c>
      <c r="AC16" s="25">
        <f t="shared" si="0"/>
        <v>4</v>
      </c>
    </row>
    <row r="17" spans="2:29">
      <c r="E17" s="121" t="s">
        <v>68</v>
      </c>
      <c r="F17" s="122">
        <v>5</v>
      </c>
      <c r="L17" s="55" t="s">
        <v>17</v>
      </c>
      <c r="M17" s="56">
        <v>3</v>
      </c>
      <c r="N17" s="17"/>
      <c r="O17" s="24" t="s">
        <v>135</v>
      </c>
      <c r="P17" s="24">
        <v>4</v>
      </c>
      <c r="Q17" s="17"/>
      <c r="R17" s="24"/>
      <c r="S17" s="24">
        <v>2</v>
      </c>
      <c r="U17" s="73" t="s">
        <v>74</v>
      </c>
      <c r="X17" s="55" t="s">
        <v>45</v>
      </c>
      <c r="Y17" s="56">
        <v>2</v>
      </c>
      <c r="AA17" s="137">
        <v>4</v>
      </c>
      <c r="AB17" s="24">
        <v>5</v>
      </c>
      <c r="AC17" s="25">
        <f t="shared" si="0"/>
        <v>7</v>
      </c>
    </row>
    <row r="18" spans="2:29">
      <c r="E18" s="24" t="s">
        <v>69</v>
      </c>
      <c r="F18" s="24">
        <v>1</v>
      </c>
      <c r="L18" s="55" t="s">
        <v>47</v>
      </c>
      <c r="M18" s="79">
        <v>10</v>
      </c>
      <c r="N18" s="17"/>
      <c r="Q18" s="17"/>
      <c r="R18" s="24"/>
      <c r="S18" s="24">
        <v>3</v>
      </c>
      <c r="U18" s="73" t="s">
        <v>244</v>
      </c>
      <c r="X18" s="55" t="s">
        <v>46</v>
      </c>
      <c r="Y18" s="56">
        <v>0</v>
      </c>
      <c r="AA18" s="137">
        <v>2</v>
      </c>
      <c r="AB18" s="24">
        <v>0</v>
      </c>
      <c r="AC18" s="25">
        <f t="shared" si="0"/>
        <v>0</v>
      </c>
    </row>
    <row r="19" spans="2:29">
      <c r="L19" s="55" t="s">
        <v>49</v>
      </c>
      <c r="M19" s="79">
        <v>6</v>
      </c>
      <c r="N19" s="17"/>
      <c r="Q19" s="17"/>
      <c r="R19" s="24"/>
      <c r="S19" s="24">
        <v>4</v>
      </c>
      <c r="U19" s="73" t="s">
        <v>75</v>
      </c>
      <c r="X19" s="55" t="s">
        <v>48</v>
      </c>
      <c r="Y19" s="56">
        <v>1</v>
      </c>
      <c r="Z19" s="21"/>
      <c r="AA19" s="137">
        <v>3</v>
      </c>
      <c r="AB19" s="24">
        <v>2</v>
      </c>
      <c r="AC19" s="25">
        <f t="shared" si="0"/>
        <v>3</v>
      </c>
    </row>
    <row r="20" spans="2:29">
      <c r="E20" s="91" t="s">
        <v>228</v>
      </c>
      <c r="L20" s="55" t="s">
        <v>50</v>
      </c>
      <c r="M20" s="79">
        <v>10</v>
      </c>
      <c r="R20" s="24"/>
      <c r="S20" s="24">
        <v>5</v>
      </c>
      <c r="U20" s="73" t="s">
        <v>303</v>
      </c>
      <c r="X20" s="55" t="s">
        <v>91</v>
      </c>
      <c r="Y20" s="56">
        <v>2</v>
      </c>
      <c r="AA20" s="137">
        <v>2</v>
      </c>
      <c r="AB20" s="24">
        <v>0</v>
      </c>
      <c r="AC20" s="25">
        <f t="shared" si="0"/>
        <v>2</v>
      </c>
    </row>
    <row r="21" spans="2:29">
      <c r="L21" s="55" t="s">
        <v>113</v>
      </c>
      <c r="M21" s="56">
        <v>2</v>
      </c>
      <c r="N21" s="17"/>
      <c r="R21" s="24"/>
      <c r="S21" s="24">
        <v>0</v>
      </c>
      <c r="U21" s="73" t="s">
        <v>76</v>
      </c>
      <c r="X21" s="55" t="s">
        <v>73</v>
      </c>
      <c r="Y21" s="56">
        <v>0</v>
      </c>
      <c r="AA21" s="137">
        <v>2</v>
      </c>
      <c r="AB21" s="24">
        <v>0</v>
      </c>
      <c r="AC21" s="25">
        <f t="shared" si="0"/>
        <v>0</v>
      </c>
    </row>
    <row r="22" spans="2:29">
      <c r="L22" s="55" t="s">
        <v>51</v>
      </c>
      <c r="M22" s="56">
        <v>3</v>
      </c>
      <c r="N22" s="17"/>
      <c r="Q22" s="17"/>
      <c r="R22" s="17"/>
      <c r="S22" s="17"/>
      <c r="U22" s="73" t="s">
        <v>77</v>
      </c>
      <c r="X22" s="55" t="s">
        <v>89</v>
      </c>
      <c r="Y22" s="56">
        <v>0</v>
      </c>
      <c r="AA22" s="137">
        <v>2</v>
      </c>
      <c r="AB22" s="24">
        <v>0</v>
      </c>
      <c r="AC22" s="25">
        <f t="shared" si="0"/>
        <v>0</v>
      </c>
    </row>
    <row r="23" spans="2:29">
      <c r="L23" s="55" t="s">
        <v>52</v>
      </c>
      <c r="M23" s="56">
        <v>2</v>
      </c>
      <c r="N23" s="17"/>
      <c r="Q23" s="17"/>
      <c r="R23" s="17"/>
      <c r="S23" s="17"/>
      <c r="U23" s="73" t="s">
        <v>78</v>
      </c>
      <c r="X23" s="121" t="s">
        <v>68</v>
      </c>
      <c r="Y23" s="122">
        <v>5</v>
      </c>
      <c r="AA23" s="138">
        <v>0</v>
      </c>
      <c r="AB23" s="123">
        <v>0</v>
      </c>
      <c r="AC23" s="136">
        <f t="shared" si="0"/>
        <v>5</v>
      </c>
    </row>
    <row r="24" spans="2:29">
      <c r="L24" s="55" t="s">
        <v>115</v>
      </c>
      <c r="M24" s="56">
        <v>3</v>
      </c>
      <c r="N24" s="17"/>
      <c r="U24" s="73" t="s">
        <v>79</v>
      </c>
      <c r="X24" s="24" t="s">
        <v>69</v>
      </c>
      <c r="Y24" s="24">
        <v>1</v>
      </c>
      <c r="AA24" s="137">
        <v>0</v>
      </c>
      <c r="AB24" s="24">
        <v>0</v>
      </c>
      <c r="AC24" s="25">
        <f t="shared" si="0"/>
        <v>1</v>
      </c>
    </row>
    <row r="25" spans="2:29">
      <c r="L25" s="55" t="s">
        <v>84</v>
      </c>
      <c r="M25" s="79">
        <v>6</v>
      </c>
      <c r="U25" s="73" t="s">
        <v>245</v>
      </c>
    </row>
    <row r="26" spans="2:29">
      <c r="L26" s="55" t="s">
        <v>85</v>
      </c>
      <c r="M26" s="79">
        <v>3</v>
      </c>
      <c r="U26" s="73" t="s">
        <v>80</v>
      </c>
      <c r="X26" s="91" t="s">
        <v>227</v>
      </c>
    </row>
    <row r="27" spans="2:29">
      <c r="L27" s="55" t="s">
        <v>53</v>
      </c>
      <c r="M27" s="56">
        <v>4</v>
      </c>
      <c r="U27" s="73" t="s">
        <v>97</v>
      </c>
      <c r="X27" s="91" t="s">
        <v>292</v>
      </c>
    </row>
    <row r="28" spans="2:29" ht="13.8" thickBot="1">
      <c r="L28" s="55" t="s">
        <v>15</v>
      </c>
      <c r="M28" s="56">
        <v>3</v>
      </c>
      <c r="U28" s="73" t="s">
        <v>99</v>
      </c>
      <c r="X28" s="91"/>
    </row>
    <row r="29" spans="2:29" ht="13.8" thickBot="1">
      <c r="L29" s="142" t="s">
        <v>26</v>
      </c>
      <c r="M29" s="84">
        <v>0</v>
      </c>
      <c r="U29" s="73" t="s">
        <v>81</v>
      </c>
      <c r="X29" s="4" t="s">
        <v>224</v>
      </c>
      <c r="Y29" s="6" t="s">
        <v>28</v>
      </c>
    </row>
    <row r="30" spans="2:29">
      <c r="U30" s="73" t="s">
        <v>87</v>
      </c>
      <c r="X30" s="7">
        <v>2</v>
      </c>
      <c r="Y30" s="8">
        <v>0</v>
      </c>
    </row>
    <row r="31" spans="2:29">
      <c r="U31" s="73" t="s">
        <v>98</v>
      </c>
      <c r="X31" s="7">
        <v>3</v>
      </c>
      <c r="Y31" s="8">
        <v>2</v>
      </c>
    </row>
    <row r="32" spans="2:29">
      <c r="B32" s="25" t="s">
        <v>54</v>
      </c>
      <c r="C32" s="25" t="s">
        <v>28</v>
      </c>
      <c r="E32" s="25" t="s">
        <v>57</v>
      </c>
      <c r="F32" s="24"/>
      <c r="H32" s="133" t="s">
        <v>126</v>
      </c>
      <c r="L32" s="25" t="s">
        <v>63</v>
      </c>
      <c r="M32" s="25" t="s">
        <v>11</v>
      </c>
      <c r="N32" s="1"/>
      <c r="O32" s="25" t="s">
        <v>63</v>
      </c>
      <c r="P32" s="25" t="s">
        <v>10</v>
      </c>
      <c r="Q32" s="1"/>
      <c r="R32" s="25" t="s">
        <v>127</v>
      </c>
      <c r="S32" s="25" t="s">
        <v>11</v>
      </c>
      <c r="U32" s="73" t="s">
        <v>82</v>
      </c>
      <c r="X32" s="7">
        <v>4</v>
      </c>
      <c r="Y32" s="135">
        <v>5</v>
      </c>
    </row>
    <row r="33" spans="2:21">
      <c r="B33" s="24" t="s">
        <v>55</v>
      </c>
      <c r="C33" s="24">
        <v>2</v>
      </c>
      <c r="E33" s="24" t="s">
        <v>58</v>
      </c>
      <c r="F33" s="24">
        <v>20</v>
      </c>
      <c r="H33" s="92">
        <v>1</v>
      </c>
      <c r="L33" s="24" t="s">
        <v>180</v>
      </c>
      <c r="M33" s="24">
        <v>40</v>
      </c>
      <c r="O33" s="24" t="s">
        <v>180</v>
      </c>
      <c r="P33" s="24">
        <v>3</v>
      </c>
      <c r="R33" s="24" t="s">
        <v>128</v>
      </c>
      <c r="S33" s="24">
        <v>3</v>
      </c>
      <c r="U33" s="73" t="s">
        <v>304</v>
      </c>
    </row>
    <row r="34" spans="2:21">
      <c r="B34" s="24" t="s">
        <v>56</v>
      </c>
      <c r="C34" s="24">
        <v>0</v>
      </c>
      <c r="E34" s="24" t="s">
        <v>59</v>
      </c>
      <c r="F34" s="24">
        <v>12</v>
      </c>
      <c r="H34" s="92">
        <v>2</v>
      </c>
      <c r="L34" s="24" t="s">
        <v>181</v>
      </c>
      <c r="M34" s="24">
        <v>40</v>
      </c>
      <c r="O34" s="24" t="s">
        <v>181</v>
      </c>
      <c r="P34" s="24">
        <v>3</v>
      </c>
      <c r="R34" s="24" t="s">
        <v>129</v>
      </c>
      <c r="S34" s="24">
        <v>3</v>
      </c>
      <c r="U34" s="73" t="s">
        <v>305</v>
      </c>
    </row>
    <row r="35" spans="2:21">
      <c r="B35" s="24" t="s">
        <v>18</v>
      </c>
      <c r="C35" s="24">
        <v>-1</v>
      </c>
      <c r="E35" s="24" t="s">
        <v>60</v>
      </c>
      <c r="F35" s="24">
        <v>0</v>
      </c>
      <c r="H35" s="92" t="s">
        <v>222</v>
      </c>
      <c r="L35" s="24" t="s">
        <v>182</v>
      </c>
      <c r="M35" s="24">
        <v>30</v>
      </c>
      <c r="O35" s="24" t="s">
        <v>182</v>
      </c>
      <c r="P35" s="24">
        <v>2</v>
      </c>
      <c r="R35" s="24" t="s">
        <v>130</v>
      </c>
      <c r="S35" s="24">
        <v>3</v>
      </c>
      <c r="U35" s="73" t="s">
        <v>306</v>
      </c>
    </row>
    <row r="36" spans="2:21">
      <c r="B36" s="24" t="s">
        <v>65</v>
      </c>
      <c r="C36" s="24">
        <v>3</v>
      </c>
      <c r="E36" s="26" t="s">
        <v>19</v>
      </c>
      <c r="F36" s="24">
        <v>0</v>
      </c>
      <c r="H36" s="134" t="s">
        <v>19</v>
      </c>
      <c r="L36" s="24" t="s">
        <v>183</v>
      </c>
      <c r="M36" s="24">
        <v>20</v>
      </c>
      <c r="O36" s="24" t="s">
        <v>183</v>
      </c>
      <c r="P36" s="24">
        <v>2</v>
      </c>
      <c r="R36" s="24" t="s">
        <v>131</v>
      </c>
      <c r="S36" s="24">
        <v>3</v>
      </c>
      <c r="U36" s="73" t="s">
        <v>307</v>
      </c>
    </row>
    <row r="37" spans="2:21">
      <c r="B37" s="24" t="s">
        <v>90</v>
      </c>
      <c r="C37" s="24">
        <v>2</v>
      </c>
      <c r="L37" s="24" t="s">
        <v>184</v>
      </c>
      <c r="M37" s="24">
        <v>10</v>
      </c>
      <c r="O37" s="24" t="s">
        <v>184</v>
      </c>
      <c r="P37" s="24">
        <v>2</v>
      </c>
      <c r="R37" s="26" t="s">
        <v>317</v>
      </c>
      <c r="S37" s="24">
        <v>10</v>
      </c>
      <c r="U37" s="73" t="s">
        <v>308</v>
      </c>
    </row>
    <row r="38" spans="2:21">
      <c r="B38" s="24" t="s">
        <v>88</v>
      </c>
      <c r="C38" s="24">
        <v>0</v>
      </c>
      <c r="L38" s="24" t="s">
        <v>185</v>
      </c>
      <c r="M38" s="24">
        <v>5</v>
      </c>
      <c r="O38" s="24" t="s">
        <v>185</v>
      </c>
      <c r="P38" s="24">
        <v>2</v>
      </c>
      <c r="U38" s="73" t="s">
        <v>309</v>
      </c>
    </row>
    <row r="39" spans="2:21">
      <c r="B39" s="24" t="s">
        <v>92</v>
      </c>
      <c r="C39" s="24">
        <v>2</v>
      </c>
      <c r="L39" s="24" t="s">
        <v>186</v>
      </c>
      <c r="M39" s="24">
        <v>30</v>
      </c>
      <c r="O39" s="24" t="s">
        <v>186</v>
      </c>
      <c r="P39" s="24">
        <v>2</v>
      </c>
      <c r="U39" s="73" t="s">
        <v>310</v>
      </c>
    </row>
    <row r="40" spans="2:21">
      <c r="B40" s="139" t="s">
        <v>249</v>
      </c>
      <c r="C40" s="24">
        <v>0</v>
      </c>
      <c r="L40" s="24" t="s">
        <v>187</v>
      </c>
      <c r="M40" s="24">
        <v>20</v>
      </c>
      <c r="O40" s="24" t="s">
        <v>187</v>
      </c>
      <c r="P40" s="24">
        <v>1</v>
      </c>
      <c r="R40" s="25" t="s">
        <v>63</v>
      </c>
      <c r="S40" s="25" t="s">
        <v>57</v>
      </c>
      <c r="U40" s="73" t="s">
        <v>319</v>
      </c>
    </row>
    <row r="41" spans="2:21">
      <c r="B41" s="143" t="s">
        <v>318</v>
      </c>
      <c r="C41" s="143">
        <v>2</v>
      </c>
      <c r="L41" s="24" t="s">
        <v>188</v>
      </c>
      <c r="M41" s="24">
        <v>10</v>
      </c>
      <c r="O41" s="24" t="s">
        <v>188</v>
      </c>
      <c r="P41" s="24">
        <v>1</v>
      </c>
      <c r="R41" s="24"/>
      <c r="S41" s="24">
        <v>1</v>
      </c>
      <c r="U41" s="73" t="s">
        <v>320</v>
      </c>
    </row>
    <row r="42" spans="2:21">
      <c r="L42" s="24" t="s">
        <v>189</v>
      </c>
      <c r="M42" s="24">
        <v>5</v>
      </c>
      <c r="N42" s="1"/>
      <c r="O42" s="24" t="s">
        <v>189</v>
      </c>
      <c r="P42" s="24">
        <v>1</v>
      </c>
      <c r="Q42" s="1"/>
      <c r="R42" s="24"/>
      <c r="S42" s="24">
        <v>2</v>
      </c>
      <c r="U42" s="73" t="s">
        <v>321</v>
      </c>
    </row>
    <row r="43" spans="2:21">
      <c r="L43" s="26"/>
      <c r="M43" s="24">
        <v>0</v>
      </c>
      <c r="O43" s="26"/>
      <c r="P43" s="24">
        <v>0</v>
      </c>
      <c r="R43" s="24"/>
      <c r="S43" s="24">
        <v>3</v>
      </c>
      <c r="U43" s="73" t="s">
        <v>322</v>
      </c>
    </row>
    <row r="44" spans="2:21">
      <c r="R44" s="24"/>
      <c r="S44" s="24">
        <v>4</v>
      </c>
      <c r="U44" s="73"/>
    </row>
    <row r="45" spans="2:21" ht="13.8" thickBot="1">
      <c r="R45" s="24"/>
      <c r="S45" s="26" t="s">
        <v>19</v>
      </c>
      <c r="U45" s="74"/>
    </row>
    <row r="46" spans="2:21" ht="13.8" thickBot="1">
      <c r="C46" s="124"/>
    </row>
    <row r="47" spans="2:21" ht="13.8" thickBot="1">
      <c r="L47" s="75" t="s">
        <v>146</v>
      </c>
      <c r="M47" s="76" t="s">
        <v>24</v>
      </c>
      <c r="N47" s="127"/>
      <c r="O47" s="1"/>
    </row>
    <row r="48" spans="2:21">
      <c r="L48" s="55" t="s">
        <v>153</v>
      </c>
      <c r="M48" s="79" t="s">
        <v>196</v>
      </c>
      <c r="N48" s="128">
        <v>3</v>
      </c>
    </row>
    <row r="49" spans="12:14">
      <c r="L49" s="55" t="s">
        <v>154</v>
      </c>
      <c r="M49" s="56" t="s">
        <v>197</v>
      </c>
      <c r="N49" s="128">
        <v>3</v>
      </c>
    </row>
    <row r="50" spans="12:14">
      <c r="L50" s="55" t="s">
        <v>155</v>
      </c>
      <c r="M50" s="56" t="s">
        <v>198</v>
      </c>
      <c r="N50" s="128">
        <v>3</v>
      </c>
    </row>
    <row r="51" spans="12:14">
      <c r="L51" s="55" t="s">
        <v>156</v>
      </c>
      <c r="M51" s="56" t="s">
        <v>199</v>
      </c>
      <c r="N51" s="129">
        <v>3</v>
      </c>
    </row>
    <row r="52" spans="12:14">
      <c r="L52" s="55" t="s">
        <v>157</v>
      </c>
      <c r="M52" s="79" t="s">
        <v>200</v>
      </c>
      <c r="N52" s="129">
        <v>3</v>
      </c>
    </row>
    <row r="53" spans="12:14">
      <c r="L53" s="55" t="s">
        <v>158</v>
      </c>
      <c r="M53" s="79" t="s">
        <v>201</v>
      </c>
      <c r="N53" s="128">
        <v>3</v>
      </c>
    </row>
    <row r="54" spans="12:14">
      <c r="L54" s="55" t="s">
        <v>159</v>
      </c>
      <c r="M54" s="79" t="s">
        <v>202</v>
      </c>
      <c r="N54" s="129">
        <v>3</v>
      </c>
    </row>
    <row r="55" spans="12:14">
      <c r="L55" s="55" t="s">
        <v>160</v>
      </c>
      <c r="M55" s="56" t="s">
        <v>203</v>
      </c>
      <c r="N55" s="128">
        <v>3</v>
      </c>
    </row>
    <row r="56" spans="12:14">
      <c r="L56" s="55" t="s">
        <v>161</v>
      </c>
      <c r="M56" s="79" t="s">
        <v>204</v>
      </c>
      <c r="N56" s="128">
        <v>3</v>
      </c>
    </row>
    <row r="57" spans="12:14">
      <c r="L57" s="55" t="s">
        <v>162</v>
      </c>
      <c r="M57" s="79" t="s">
        <v>205</v>
      </c>
      <c r="N57" s="128">
        <v>3</v>
      </c>
    </row>
    <row r="58" spans="12:14" ht="26.4">
      <c r="L58" s="55" t="s">
        <v>163</v>
      </c>
      <c r="M58" s="79" t="s">
        <v>206</v>
      </c>
      <c r="N58" s="129">
        <v>3</v>
      </c>
    </row>
    <row r="59" spans="12:14">
      <c r="L59" s="55" t="s">
        <v>164</v>
      </c>
      <c r="M59" s="56" t="s">
        <v>207</v>
      </c>
      <c r="N59" s="129">
        <v>3</v>
      </c>
    </row>
    <row r="60" spans="12:14">
      <c r="L60" s="55" t="s">
        <v>147</v>
      </c>
      <c r="M60" s="56" t="s">
        <v>208</v>
      </c>
      <c r="N60" s="129">
        <v>6</v>
      </c>
    </row>
    <row r="61" spans="12:14">
      <c r="L61" s="55" t="s">
        <v>148</v>
      </c>
      <c r="M61" s="56" t="s">
        <v>209</v>
      </c>
      <c r="N61" s="128">
        <v>6</v>
      </c>
    </row>
    <row r="62" spans="12:14">
      <c r="L62" s="55" t="s">
        <v>149</v>
      </c>
      <c r="M62" s="56" t="s">
        <v>210</v>
      </c>
      <c r="N62" s="129">
        <v>6</v>
      </c>
    </row>
    <row r="63" spans="12:14" ht="26.4">
      <c r="L63" s="55" t="s">
        <v>150</v>
      </c>
      <c r="M63" s="79" t="s">
        <v>211</v>
      </c>
      <c r="N63" s="129">
        <v>6</v>
      </c>
    </row>
    <row r="64" spans="12:14" ht="26.4">
      <c r="L64" s="55" t="s">
        <v>151</v>
      </c>
      <c r="M64" s="79" t="s">
        <v>212</v>
      </c>
      <c r="N64" s="129">
        <v>6</v>
      </c>
    </row>
    <row r="65" spans="12:14">
      <c r="L65" s="55" t="s">
        <v>152</v>
      </c>
      <c r="M65" s="56" t="s">
        <v>213</v>
      </c>
      <c r="N65" s="130">
        <v>6</v>
      </c>
    </row>
    <row r="72" spans="12:14">
      <c r="M72" s="17"/>
    </row>
    <row r="73" spans="12:14">
      <c r="M73" s="17"/>
    </row>
    <row r="75" spans="12:14">
      <c r="M75" s="17"/>
    </row>
    <row r="79" spans="12:14">
      <c r="M79" s="17"/>
    </row>
    <row r="80" spans="12:14">
      <c r="M80" s="17"/>
    </row>
    <row r="81" spans="13:13">
      <c r="M81" s="17"/>
    </row>
    <row r="83" spans="13:13">
      <c r="M83" s="17"/>
    </row>
    <row r="84" spans="13:13">
      <c r="M84" s="17"/>
    </row>
    <row r="85" spans="13:13">
      <c r="M85" s="17"/>
    </row>
  </sheetData>
  <sheetProtection sheet="1" selectLockedCells="1" selectUnlockedCells="1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9"/>
  <sheetViews>
    <sheetView topLeftCell="A22" workbookViewId="0">
      <selection activeCell="B60" sqref="B60"/>
    </sheetView>
  </sheetViews>
  <sheetFormatPr defaultRowHeight="13.2"/>
  <cols>
    <col min="1" max="1" width="8.5546875" bestFit="1" customWidth="1"/>
    <col min="2" max="2" width="127.6640625" customWidth="1"/>
    <col min="3" max="3" width="4" bestFit="1" customWidth="1"/>
    <col min="4" max="4" width="3.5546875" bestFit="1" customWidth="1"/>
    <col min="5" max="5" width="3" bestFit="1" customWidth="1"/>
    <col min="6" max="6" width="3.5546875" bestFit="1" customWidth="1"/>
    <col min="7" max="7" width="4.6640625" bestFit="1" customWidth="1"/>
  </cols>
  <sheetData>
    <row r="1" spans="1:2" ht="13.8">
      <c r="A1" s="81" t="s">
        <v>93</v>
      </c>
    </row>
    <row r="3" spans="1:2">
      <c r="A3" t="s">
        <v>105</v>
      </c>
      <c r="B3" s="80" t="s">
        <v>100</v>
      </c>
    </row>
    <row r="4" spans="1:2">
      <c r="B4" t="s">
        <v>94</v>
      </c>
    </row>
    <row r="5" spans="1:2">
      <c r="B5" s="80" t="s">
        <v>101</v>
      </c>
    </row>
    <row r="6" spans="1:2">
      <c r="B6" t="s">
        <v>232</v>
      </c>
    </row>
    <row r="8" spans="1:2">
      <c r="A8" t="s">
        <v>106</v>
      </c>
      <c r="B8" t="s">
        <v>103</v>
      </c>
    </row>
    <row r="9" spans="1:2">
      <c r="B9" t="s">
        <v>104</v>
      </c>
    </row>
    <row r="11" spans="1:2">
      <c r="A11" t="s">
        <v>107</v>
      </c>
      <c r="B11" t="s">
        <v>108</v>
      </c>
    </row>
    <row r="13" spans="1:2">
      <c r="A13" t="s">
        <v>120</v>
      </c>
      <c r="B13" t="s">
        <v>109</v>
      </c>
    </row>
    <row r="14" spans="1:2">
      <c r="B14" t="s">
        <v>112</v>
      </c>
    </row>
    <row r="15" spans="1:2">
      <c r="B15" t="s">
        <v>114</v>
      </c>
    </row>
    <row r="16" spans="1:2">
      <c r="B16" t="s">
        <v>116</v>
      </c>
    </row>
    <row r="18" spans="1:7">
      <c r="A18" t="s">
        <v>121</v>
      </c>
      <c r="B18" t="s">
        <v>122</v>
      </c>
    </row>
    <row r="20" spans="1:7">
      <c r="A20" t="s">
        <v>123</v>
      </c>
      <c r="B20" s="94" t="s">
        <v>193</v>
      </c>
      <c r="C20" t="s">
        <v>291</v>
      </c>
    </row>
    <row r="21" spans="1:7">
      <c r="B21" s="94" t="s">
        <v>167</v>
      </c>
      <c r="C21" t="s">
        <v>166</v>
      </c>
      <c r="D21" t="s">
        <v>124</v>
      </c>
      <c r="E21" t="s">
        <v>6</v>
      </c>
      <c r="F21" t="s">
        <v>124</v>
      </c>
      <c r="G21" s="91" t="s">
        <v>125</v>
      </c>
    </row>
    <row r="22" spans="1:7">
      <c r="B22" s="94" t="s">
        <v>168</v>
      </c>
      <c r="C22" t="s">
        <v>38</v>
      </c>
      <c r="D22">
        <v>0</v>
      </c>
      <c r="E22">
        <v>5</v>
      </c>
      <c r="F22">
        <v>0</v>
      </c>
      <c r="G22" s="91">
        <f>SUM(D22,F22)</f>
        <v>0</v>
      </c>
    </row>
    <row r="23" spans="1:7">
      <c r="B23" s="94" t="s">
        <v>169</v>
      </c>
      <c r="C23" t="s">
        <v>43</v>
      </c>
      <c r="D23">
        <v>0</v>
      </c>
      <c r="E23">
        <v>10</v>
      </c>
      <c r="F23">
        <v>4</v>
      </c>
      <c r="G23" s="91">
        <f>SUM(D23,F23)</f>
        <v>4</v>
      </c>
    </row>
    <row r="24" spans="1:7">
      <c r="B24" s="94" t="s">
        <v>170</v>
      </c>
    </row>
    <row r="25" spans="1:7">
      <c r="B25" s="94" t="s">
        <v>171</v>
      </c>
    </row>
    <row r="26" spans="1:7">
      <c r="B26" s="94" t="s">
        <v>172</v>
      </c>
    </row>
    <row r="27" spans="1:7">
      <c r="B27" s="94" t="s">
        <v>173</v>
      </c>
    </row>
    <row r="28" spans="1:7">
      <c r="B28" s="94" t="s">
        <v>174</v>
      </c>
    </row>
    <row r="29" spans="1:7">
      <c r="B29" s="94" t="s">
        <v>175</v>
      </c>
    </row>
    <row r="30" spans="1:7">
      <c r="B30" s="94" t="s">
        <v>176</v>
      </c>
    </row>
    <row r="31" spans="1:7">
      <c r="B31" s="94" t="s">
        <v>177</v>
      </c>
    </row>
    <row r="32" spans="1:7">
      <c r="B32" s="94" t="s">
        <v>192</v>
      </c>
    </row>
    <row r="34" spans="1:2">
      <c r="A34" t="s">
        <v>194</v>
      </c>
      <c r="B34" t="s">
        <v>195</v>
      </c>
    </row>
    <row r="35" spans="1:2">
      <c r="B35" t="s">
        <v>233</v>
      </c>
    </row>
    <row r="37" spans="1:2">
      <c r="A37" t="s">
        <v>215</v>
      </c>
      <c r="B37" t="s">
        <v>216</v>
      </c>
    </row>
    <row r="38" spans="1:2">
      <c r="B38" t="s">
        <v>217</v>
      </c>
    </row>
    <row r="40" spans="1:2">
      <c r="A40" t="s">
        <v>218</v>
      </c>
      <c r="B40" t="s">
        <v>219</v>
      </c>
    </row>
    <row r="42" spans="1:2">
      <c r="A42" t="s">
        <v>220</v>
      </c>
      <c r="B42" t="s">
        <v>221</v>
      </c>
    </row>
    <row r="43" spans="1:2">
      <c r="B43" t="s">
        <v>223</v>
      </c>
    </row>
    <row r="45" spans="1:2">
      <c r="A45" t="s">
        <v>229</v>
      </c>
      <c r="B45" t="s">
        <v>230</v>
      </c>
    </row>
    <row r="46" spans="1:2">
      <c r="B46" t="s">
        <v>246</v>
      </c>
    </row>
    <row r="47" spans="1:2">
      <c r="B47" t="s">
        <v>238</v>
      </c>
    </row>
    <row r="49" spans="1:2">
      <c r="A49" t="s">
        <v>288</v>
      </c>
      <c r="B49" t="s">
        <v>122</v>
      </c>
    </row>
    <row r="50" spans="1:2">
      <c r="B50" t="s">
        <v>289</v>
      </c>
    </row>
    <row r="51" spans="1:2">
      <c r="B51" t="s">
        <v>293</v>
      </c>
    </row>
    <row r="53" spans="1:2">
      <c r="A53" t="s">
        <v>299</v>
      </c>
      <c r="B53" t="s">
        <v>300</v>
      </c>
    </row>
    <row r="55" spans="1:2">
      <c r="A55" t="s">
        <v>301</v>
      </c>
      <c r="B55" t="s">
        <v>302</v>
      </c>
    </row>
    <row r="57" spans="1:2">
      <c r="A57" t="s">
        <v>313</v>
      </c>
      <c r="B57" t="s">
        <v>314</v>
      </c>
    </row>
    <row r="58" spans="1:2">
      <c r="B58" t="s">
        <v>315</v>
      </c>
    </row>
    <row r="59" spans="1:2">
      <c r="B59" t="s">
        <v>316</v>
      </c>
    </row>
  </sheetData>
  <sheetProtection sheet="1" selectLockedCells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17</vt:i4>
      </vt:variant>
    </vt:vector>
  </HeadingPairs>
  <TitlesOfParts>
    <vt:vector size="23" baseType="lpstr">
      <vt:lpstr>List</vt:lpstr>
      <vt:lpstr>Example</vt:lpstr>
      <vt:lpstr>Example Filtered</vt:lpstr>
      <vt:lpstr>Notes</vt:lpstr>
      <vt:lpstr>Tables</vt:lpstr>
      <vt:lpstr>Versions</vt:lpstr>
      <vt:lpstr>Baggage</vt:lpstr>
      <vt:lpstr>Card</vt:lpstr>
      <vt:lpstr>CS_Name</vt:lpstr>
      <vt:lpstr>Discipline</vt:lpstr>
      <vt:lpstr>Explore</vt:lpstr>
      <vt:lpstr>Fate</vt:lpstr>
      <vt:lpstr>General_Ability</vt:lpstr>
      <vt:lpstr>General_Command</vt:lpstr>
      <vt:lpstr>General_Name</vt:lpstr>
      <vt:lpstr>IMPETUS</vt:lpstr>
      <vt:lpstr>LargeUnit</vt:lpstr>
      <vt:lpstr>MOVE</vt:lpstr>
      <vt:lpstr>Special</vt:lpstr>
      <vt:lpstr>Type</vt:lpstr>
      <vt:lpstr>VBU</vt:lpstr>
      <vt:lpstr>VOLUME</vt:lpstr>
      <vt:lpstr>Weapon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Lorenzo</cp:lastModifiedBy>
  <cp:lastPrinted>2020-06-23T14:10:19Z</cp:lastPrinted>
  <dcterms:created xsi:type="dcterms:W3CDTF">2015-01-27T17:55:47Z</dcterms:created>
  <dcterms:modified xsi:type="dcterms:W3CDTF">2023-04-24T14:47:05Z</dcterms:modified>
</cp:coreProperties>
</file>